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산단환경과\기술지원계\4. 보조금 지원 사업\1. 연도별 보조금 지원 사업\2021\5. 공고\1차 공고(2020.10.06.) 공고 홈페이지 누락분 재 공고\"/>
    </mc:Choice>
  </mc:AlternateContent>
  <bookViews>
    <workbookView xWindow="-28920" yWindow="-120" windowWidth="29040" windowHeight="15840" activeTab="2"/>
  </bookViews>
  <sheets>
    <sheet name="작성방법" sheetId="10" r:id="rId1"/>
    <sheet name="표지" sheetId="1" r:id="rId2"/>
    <sheet name="원가계산서" sheetId="2" r:id="rId3"/>
    <sheet name="집계표" sheetId="3" r:id="rId4"/>
    <sheet name="내역서" sheetId="5" r:id="rId5"/>
    <sheet name="일위대가목록" sheetId="4" r:id="rId6"/>
    <sheet name="일위대가표" sheetId="6" r:id="rId7"/>
    <sheet name="물량산출표" sheetId="8" r:id="rId8"/>
    <sheet name="단가조사표" sheetId="9" r:id="rId9"/>
    <sheet name="노임단가(2021상반기)" sheetId="11" r:id="rId10"/>
  </sheets>
  <definedNames>
    <definedName name="_xlnm._FilterDatabase" localSheetId="6" hidden="1">일위대가표!$B$4:$N$4</definedName>
    <definedName name="_xlnm.Print_Area" localSheetId="4">내역서!$A$1:$M$76</definedName>
    <definedName name="_xlnm.Print_Area" localSheetId="8">단가조사표!$A$1:$K$53</definedName>
    <definedName name="_xlnm.Print_Area" localSheetId="7">물량산출표!$A$1:$L$95</definedName>
    <definedName name="_xlnm.Print_Area" localSheetId="2">원가계산서!$A$1:$F$22</definedName>
    <definedName name="_xlnm.Print_Area" localSheetId="5">일위대가목록!$A$1:$I$23</definedName>
    <definedName name="_xlnm.Print_Area" localSheetId="6">일위대가표!$A$1:$N$103</definedName>
    <definedName name="_xlnm.Print_Area" localSheetId="3">집계표!$A$1:$L$15</definedName>
    <definedName name="_xlnm.Print_Area" localSheetId="1">표지!$A$1:$G$20</definedName>
    <definedName name="_xlnm.Print_Titles" localSheetId="4">내역서!$1:$3</definedName>
    <definedName name="_xlnm.Print_Titles" localSheetId="9">'노임단가(2021상반기)'!$1:$3</definedName>
    <definedName name="_xlnm.Print_Titles" localSheetId="8">단가조사표!$1:$4</definedName>
    <definedName name="_xlnm.Print_Titles" localSheetId="7">물량산출표!$1:$4</definedName>
    <definedName name="_xlnm.Print_Titles" localSheetId="5">일위대가목록!$1:$2</definedName>
    <definedName name="_xlnm.Print_Titles" localSheetId="6">일위대가표!$1:$4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G62" i="5"/>
  <c r="B62" i="5"/>
  <c r="E16" i="8" l="1"/>
  <c r="D13" i="8"/>
  <c r="D12" i="8"/>
  <c r="A70" i="5" l="1"/>
  <c r="A2" i="3" l="1"/>
  <c r="B32" i="5" l="1"/>
  <c r="G75" i="5" l="1"/>
  <c r="G74" i="5"/>
  <c r="G73" i="5"/>
  <c r="G72" i="5"/>
  <c r="G69" i="5"/>
  <c r="G68" i="5"/>
  <c r="G67" i="5"/>
  <c r="G66" i="5"/>
  <c r="G65" i="5"/>
  <c r="G64" i="5"/>
  <c r="G63" i="5"/>
  <c r="G49" i="5"/>
  <c r="G48" i="5"/>
  <c r="E48" i="5"/>
  <c r="I37" i="5"/>
  <c r="G37" i="5"/>
  <c r="G35" i="5"/>
  <c r="G33" i="5"/>
  <c r="G27" i="5"/>
  <c r="I12" i="5" l="1"/>
  <c r="G12" i="5"/>
  <c r="E12" i="5"/>
  <c r="I11" i="5"/>
  <c r="G11" i="5"/>
  <c r="E11" i="5"/>
  <c r="I9" i="5"/>
  <c r="G9" i="5"/>
  <c r="E9" i="5"/>
  <c r="I7" i="5"/>
  <c r="G7" i="5"/>
  <c r="E7" i="5"/>
  <c r="E54" i="5" l="1"/>
  <c r="F54" i="5" s="1"/>
  <c r="E55" i="5"/>
  <c r="F55" i="5" s="1"/>
  <c r="E56" i="5"/>
  <c r="E57" i="5"/>
  <c r="F57" i="5" s="1"/>
  <c r="E58" i="5"/>
  <c r="F58" i="5" s="1"/>
  <c r="E53" i="5"/>
  <c r="F53" i="5" s="1"/>
  <c r="F56" i="5"/>
  <c r="J37" i="5"/>
  <c r="H37" i="5"/>
  <c r="G20" i="4" l="1"/>
  <c r="G8" i="4"/>
  <c r="G7" i="4"/>
  <c r="G6" i="4"/>
  <c r="G5" i="4"/>
  <c r="F12" i="4"/>
  <c r="F11" i="4"/>
  <c r="F10" i="4"/>
  <c r="F8" i="4"/>
  <c r="F7" i="4"/>
  <c r="F6" i="4"/>
  <c r="F5" i="4"/>
  <c r="F4" i="4"/>
  <c r="E21" i="4"/>
  <c r="E20" i="4"/>
  <c r="E15" i="4"/>
  <c r="E13" i="4"/>
  <c r="E12" i="4"/>
  <c r="E11" i="4"/>
  <c r="E8" i="4"/>
  <c r="E7" i="4"/>
  <c r="E6" i="4"/>
  <c r="E5" i="4"/>
  <c r="E4" i="4"/>
  <c r="G4" i="4"/>
  <c r="I18" i="8"/>
  <c r="I17" i="8"/>
  <c r="I16" i="8"/>
  <c r="I15" i="8"/>
  <c r="I14" i="8"/>
  <c r="I13" i="8"/>
  <c r="I12" i="8"/>
  <c r="M98" i="6" l="1"/>
  <c r="K98" i="6"/>
  <c r="G98" i="6"/>
  <c r="I98" i="6"/>
  <c r="M92" i="6"/>
  <c r="K92" i="6"/>
  <c r="G92" i="6"/>
  <c r="I92" i="6"/>
  <c r="M89" i="6"/>
  <c r="K89" i="6"/>
  <c r="G89" i="6"/>
  <c r="I89" i="6"/>
  <c r="M84" i="6"/>
  <c r="K84" i="6"/>
  <c r="G84" i="6"/>
  <c r="I84" i="6"/>
  <c r="M80" i="6"/>
  <c r="K80" i="6"/>
  <c r="G80" i="6"/>
  <c r="I80" i="6"/>
  <c r="M77" i="6"/>
  <c r="K77" i="6"/>
  <c r="G77" i="6"/>
  <c r="I77" i="6"/>
  <c r="M74" i="6"/>
  <c r="K74" i="6"/>
  <c r="G74" i="6"/>
  <c r="I74" i="6"/>
  <c r="M70" i="6"/>
  <c r="K70" i="6"/>
  <c r="G70" i="6"/>
  <c r="I70" i="6"/>
  <c r="M67" i="6"/>
  <c r="K67" i="6"/>
  <c r="G67" i="6"/>
  <c r="E14" i="4" s="1"/>
  <c r="E49" i="5" s="1"/>
  <c r="I67" i="6"/>
  <c r="K60" i="6"/>
  <c r="M60" i="6"/>
  <c r="G60" i="6"/>
  <c r="I60" i="6"/>
  <c r="M53" i="6"/>
  <c r="G53" i="6"/>
  <c r="I53" i="6"/>
  <c r="M50" i="6"/>
  <c r="K50" i="6"/>
  <c r="G50" i="6"/>
  <c r="I50" i="6"/>
  <c r="M46" i="6"/>
  <c r="K46" i="6"/>
  <c r="G46" i="6"/>
  <c r="E10" i="4" s="1"/>
  <c r="I46" i="6"/>
  <c r="M41" i="6"/>
  <c r="G41" i="6"/>
  <c r="I41" i="6"/>
  <c r="M30" i="6"/>
  <c r="G30" i="6"/>
  <c r="I30" i="6"/>
  <c r="M25" i="6"/>
  <c r="G25" i="6"/>
  <c r="I25" i="6"/>
  <c r="M20" i="6"/>
  <c r="G20" i="6"/>
  <c r="I20" i="6"/>
  <c r="G10" i="6"/>
  <c r="M15" i="6"/>
  <c r="G15" i="6"/>
  <c r="I15" i="6"/>
  <c r="M10" i="6"/>
  <c r="I10" i="6"/>
  <c r="J37" i="9"/>
  <c r="J36" i="9"/>
  <c r="J35" i="9"/>
  <c r="J34" i="9"/>
  <c r="J33" i="9"/>
  <c r="J32" i="9"/>
  <c r="D75" i="5" l="1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H62" i="5" s="1"/>
  <c r="D41" i="5"/>
  <c r="D40" i="5"/>
  <c r="D27" i="5"/>
  <c r="H27" i="5" s="1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7" i="5"/>
  <c r="F7" i="5" s="1"/>
  <c r="D6" i="5"/>
  <c r="H64" i="5" l="1"/>
  <c r="H68" i="5"/>
  <c r="H65" i="5"/>
  <c r="H69" i="5"/>
  <c r="H73" i="5"/>
  <c r="H72" i="5"/>
  <c r="H11" i="5"/>
  <c r="F11" i="5"/>
  <c r="H66" i="5"/>
  <c r="H74" i="5"/>
  <c r="F12" i="5"/>
  <c r="H12" i="5"/>
  <c r="H63" i="5"/>
  <c r="H67" i="5"/>
  <c r="H75" i="5"/>
  <c r="B8" i="4"/>
  <c r="C19" i="4"/>
  <c r="C16" i="4"/>
  <c r="H8" i="4" l="1"/>
  <c r="I8" i="8" l="1"/>
  <c r="I9" i="8" s="1"/>
  <c r="B24" i="9"/>
  <c r="I10" i="8" l="1"/>
  <c r="B41" i="9"/>
  <c r="I33" i="8"/>
  <c r="F59" i="5"/>
  <c r="B63" i="5" l="1"/>
  <c r="B64" i="5"/>
  <c r="B65" i="5"/>
  <c r="B66" i="5"/>
  <c r="B67" i="5"/>
  <c r="B68" i="5"/>
  <c r="B69" i="5"/>
  <c r="B70" i="5"/>
  <c r="B71" i="5"/>
  <c r="B72" i="5"/>
  <c r="B73" i="5"/>
  <c r="B74" i="5"/>
  <c r="B75" i="5"/>
  <c r="A74" i="5"/>
  <c r="A75" i="5"/>
  <c r="A71" i="5"/>
  <c r="A72" i="5"/>
  <c r="A73" i="5"/>
  <c r="C21" i="4"/>
  <c r="B21" i="4"/>
  <c r="C20" i="4"/>
  <c r="B20" i="4"/>
  <c r="J52" i="9"/>
  <c r="E75" i="5" s="1"/>
  <c r="F75" i="5" s="1"/>
  <c r="B48" i="9"/>
  <c r="B49" i="9"/>
  <c r="B50" i="9"/>
  <c r="B51" i="9"/>
  <c r="B52" i="9"/>
  <c r="A48" i="9"/>
  <c r="A49" i="9"/>
  <c r="A50" i="9"/>
  <c r="A51" i="9"/>
  <c r="A52" i="9"/>
  <c r="J51" i="9"/>
  <c r="E74" i="5" s="1"/>
  <c r="F74" i="5" s="1"/>
  <c r="B47" i="9"/>
  <c r="A47" i="9"/>
  <c r="J39" i="9"/>
  <c r="J40" i="9"/>
  <c r="E63" i="5" s="1"/>
  <c r="F63" i="5" s="1"/>
  <c r="J41" i="9"/>
  <c r="E64" i="5" s="1"/>
  <c r="F64" i="5" s="1"/>
  <c r="J42" i="9"/>
  <c r="E65" i="5" s="1"/>
  <c r="F65" i="5" s="1"/>
  <c r="J43" i="9"/>
  <c r="E66" i="5" s="1"/>
  <c r="F66" i="5" s="1"/>
  <c r="J44" i="9"/>
  <c r="E67" i="5" s="1"/>
  <c r="F67" i="5" s="1"/>
  <c r="J45" i="9"/>
  <c r="E68" i="5" s="1"/>
  <c r="F68" i="5" s="1"/>
  <c r="J46" i="9"/>
  <c r="E69" i="5" s="1"/>
  <c r="F69" i="5" s="1"/>
  <c r="J47" i="9"/>
  <c r="E70" i="5" s="1"/>
  <c r="F70" i="5" s="1"/>
  <c r="J48" i="9"/>
  <c r="E71" i="5" s="1"/>
  <c r="F71" i="5" s="1"/>
  <c r="J49" i="9"/>
  <c r="E72" i="5" s="1"/>
  <c r="F72" i="5" s="1"/>
  <c r="J50" i="9"/>
  <c r="E73" i="5" s="1"/>
  <c r="F73" i="5" s="1"/>
  <c r="J38" i="9"/>
  <c r="E62" i="5" s="1"/>
  <c r="F62" i="5" s="1"/>
  <c r="A40" i="9"/>
  <c r="B40" i="9"/>
  <c r="A41" i="9"/>
  <c r="A42" i="9"/>
  <c r="B42" i="9"/>
  <c r="A43" i="9"/>
  <c r="B43" i="9"/>
  <c r="A44" i="9"/>
  <c r="B44" i="9"/>
  <c r="A45" i="9"/>
  <c r="B45" i="9"/>
  <c r="A46" i="9"/>
  <c r="B46" i="9"/>
  <c r="B38" i="9"/>
  <c r="A38" i="9"/>
  <c r="A62" i="5"/>
  <c r="C15" i="4"/>
  <c r="C22" i="4"/>
  <c r="B22" i="4"/>
  <c r="B15" i="4"/>
  <c r="G15" i="4"/>
  <c r="L70" i="5" l="1"/>
  <c r="L71" i="5"/>
  <c r="B23" i="9"/>
  <c r="B25" i="9"/>
  <c r="B26" i="9"/>
  <c r="B27" i="9"/>
  <c r="B28" i="9"/>
  <c r="B29" i="9"/>
  <c r="B30" i="9"/>
  <c r="B31" i="9"/>
  <c r="B22" i="9"/>
  <c r="A23" i="9"/>
  <c r="A24" i="9"/>
  <c r="A25" i="9"/>
  <c r="A26" i="9"/>
  <c r="A27" i="9"/>
  <c r="A28" i="9"/>
  <c r="A29" i="9"/>
  <c r="A30" i="9"/>
  <c r="A31" i="9"/>
  <c r="A22" i="9"/>
  <c r="A18" i="9"/>
  <c r="A19" i="9"/>
  <c r="A20" i="9"/>
  <c r="A21" i="9"/>
  <c r="A12" i="9"/>
  <c r="A13" i="9"/>
  <c r="A14" i="9"/>
  <c r="A15" i="9"/>
  <c r="A16" i="9"/>
  <c r="A17" i="9"/>
  <c r="A11" i="9"/>
  <c r="A9" i="9"/>
  <c r="A10" i="9"/>
  <c r="A8" i="9"/>
  <c r="L53" i="5"/>
  <c r="L54" i="5"/>
  <c r="A61" i="5"/>
  <c r="A4" i="5"/>
  <c r="A52" i="5"/>
  <c r="A47" i="5"/>
  <c r="I69" i="8"/>
  <c r="D49" i="5" s="1"/>
  <c r="I68" i="8"/>
  <c r="D48" i="5" s="1"/>
  <c r="A35" i="5"/>
  <c r="I41" i="8"/>
  <c r="K41" i="8" s="1"/>
  <c r="A37" i="5"/>
  <c r="A33" i="5"/>
  <c r="B34" i="5"/>
  <c r="A34" i="5"/>
  <c r="I57" i="8"/>
  <c r="D35" i="5" s="1"/>
  <c r="H35" i="5" s="1"/>
  <c r="B36" i="5"/>
  <c r="B38" i="5"/>
  <c r="B39" i="5"/>
  <c r="B40" i="5"/>
  <c r="B41" i="5"/>
  <c r="B42" i="5"/>
  <c r="B43" i="5"/>
  <c r="B44" i="5"/>
  <c r="A36" i="5"/>
  <c r="A38" i="5"/>
  <c r="A39" i="5"/>
  <c r="A40" i="5"/>
  <c r="A41" i="5"/>
  <c r="A42" i="5"/>
  <c r="A43" i="5"/>
  <c r="A44" i="5"/>
  <c r="A32" i="5"/>
  <c r="I65" i="8"/>
  <c r="D44" i="5" s="1"/>
  <c r="I64" i="8"/>
  <c r="D43" i="5" s="1"/>
  <c r="I63" i="8"/>
  <c r="D42" i="5" s="1"/>
  <c r="I61" i="8"/>
  <c r="I62" i="8"/>
  <c r="I60" i="8"/>
  <c r="D39" i="5" s="1"/>
  <c r="I58" i="8"/>
  <c r="D36" i="5" s="1"/>
  <c r="I59" i="8"/>
  <c r="D38" i="5" s="1"/>
  <c r="A27" i="5"/>
  <c r="A21" i="5"/>
  <c r="A22" i="5"/>
  <c r="A23" i="5"/>
  <c r="A24" i="5"/>
  <c r="A25" i="5"/>
  <c r="A26" i="5"/>
  <c r="A19" i="5"/>
  <c r="A20" i="5"/>
  <c r="A17" i="5"/>
  <c r="A18" i="5"/>
  <c r="A14" i="5"/>
  <c r="A15" i="5"/>
  <c r="A13" i="5"/>
  <c r="A16" i="5"/>
  <c r="A31" i="5"/>
  <c r="G13" i="4"/>
  <c r="B14" i="4"/>
  <c r="B13" i="4"/>
  <c r="B12" i="4"/>
  <c r="B11" i="4"/>
  <c r="G9" i="4"/>
  <c r="B10" i="4"/>
  <c r="B9" i="4"/>
  <c r="B7" i="4"/>
  <c r="B6" i="4"/>
  <c r="K15" i="6"/>
  <c r="B5" i="4"/>
  <c r="B4" i="4"/>
  <c r="G12" i="4"/>
  <c r="H49" i="5" l="1"/>
  <c r="F49" i="5"/>
  <c r="F48" i="5"/>
  <c r="H48" i="5"/>
  <c r="L69" i="5"/>
  <c r="L72" i="5"/>
  <c r="H9" i="4"/>
  <c r="L73" i="5"/>
  <c r="L74" i="5"/>
  <c r="F76" i="5"/>
  <c r="H20" i="4"/>
  <c r="F20" i="4"/>
  <c r="E9" i="3"/>
  <c r="H15" i="4"/>
  <c r="F15" i="4"/>
  <c r="G10" i="4"/>
  <c r="D34" i="5"/>
  <c r="H7" i="4"/>
  <c r="H6" i="4"/>
  <c r="H12" i="4"/>
  <c r="H10" i="4" l="1"/>
  <c r="H5" i="4"/>
  <c r="F9" i="4"/>
  <c r="E9" i="4"/>
  <c r="L35" i="5"/>
  <c r="L37" i="5" l="1"/>
  <c r="I38" i="8"/>
  <c r="I50" i="8"/>
  <c r="I49" i="8"/>
  <c r="I48" i="8"/>
  <c r="I47" i="8"/>
  <c r="K47" i="8" s="1"/>
  <c r="I46" i="8"/>
  <c r="K46" i="8" s="1"/>
  <c r="I45" i="8"/>
  <c r="K45" i="8" s="1"/>
  <c r="I43" i="8"/>
  <c r="K43" i="8" s="1"/>
  <c r="I40" i="8"/>
  <c r="K40" i="8" s="1"/>
  <c r="I34" i="8"/>
  <c r="I35" i="8"/>
  <c r="I25" i="8"/>
  <c r="I24" i="8"/>
  <c r="I23" i="8"/>
  <c r="I26" i="8" l="1"/>
  <c r="I19" i="8"/>
  <c r="I20" i="8" s="1"/>
  <c r="I21" i="8" s="1"/>
  <c r="K48" i="8"/>
  <c r="K38" i="8"/>
  <c r="K50" i="8"/>
  <c r="K49" i="8"/>
  <c r="D9" i="5" l="1"/>
  <c r="D8" i="5"/>
  <c r="I27" i="8"/>
  <c r="I28" i="8" s="1"/>
  <c r="I30" i="8" s="1"/>
  <c r="E22" i="4"/>
  <c r="F22" i="4"/>
  <c r="G22" i="4"/>
  <c r="F9" i="5" l="1"/>
  <c r="H9" i="5"/>
  <c r="G28" i="5"/>
  <c r="H28" i="5" s="1"/>
  <c r="E28" i="5"/>
  <c r="F28" i="5" s="1"/>
  <c r="H22" i="4"/>
  <c r="J9" i="5"/>
  <c r="A2" i="8"/>
  <c r="J31" i="9"/>
  <c r="E44" i="5" s="1"/>
  <c r="F44" i="5" s="1"/>
  <c r="J30" i="9"/>
  <c r="E43" i="5" s="1"/>
  <c r="F43" i="5" s="1"/>
  <c r="J29" i="9"/>
  <c r="E42" i="5" s="1"/>
  <c r="F42" i="5" s="1"/>
  <c r="J28" i="9"/>
  <c r="E41" i="5" s="1"/>
  <c r="F41" i="5" s="1"/>
  <c r="J27" i="9"/>
  <c r="E40" i="5" s="1"/>
  <c r="F40" i="5" s="1"/>
  <c r="J26" i="9"/>
  <c r="E39" i="5" s="1"/>
  <c r="F39" i="5" s="1"/>
  <c r="J25" i="9"/>
  <c r="E38" i="5" s="1"/>
  <c r="F38" i="5" s="1"/>
  <c r="J24" i="9"/>
  <c r="E36" i="5" s="1"/>
  <c r="F36" i="5" s="1"/>
  <c r="J23" i="9"/>
  <c r="E34" i="5" s="1"/>
  <c r="F34" i="5" s="1"/>
  <c r="J22" i="9"/>
  <c r="E32" i="5" s="1"/>
  <c r="J21" i="9"/>
  <c r="E26" i="5" s="1"/>
  <c r="F26" i="5" s="1"/>
  <c r="J20" i="9"/>
  <c r="E25" i="5" s="1"/>
  <c r="F25" i="5" s="1"/>
  <c r="J19" i="9"/>
  <c r="E24" i="5" s="1"/>
  <c r="F24" i="5" s="1"/>
  <c r="J18" i="9"/>
  <c r="E23" i="5" s="1"/>
  <c r="F23" i="5" s="1"/>
  <c r="J17" i="9"/>
  <c r="E22" i="5" s="1"/>
  <c r="F22" i="5" s="1"/>
  <c r="J16" i="9"/>
  <c r="E21" i="5" s="1"/>
  <c r="F21" i="5" s="1"/>
  <c r="J15" i="9"/>
  <c r="E20" i="5" s="1"/>
  <c r="F20" i="5" s="1"/>
  <c r="J14" i="9"/>
  <c r="E19" i="5" s="1"/>
  <c r="F19" i="5" s="1"/>
  <c r="J13" i="9"/>
  <c r="E18" i="5" s="1"/>
  <c r="F18" i="5" s="1"/>
  <c r="J12" i="9"/>
  <c r="E17" i="5" s="1"/>
  <c r="F17" i="5" s="1"/>
  <c r="J11" i="9"/>
  <c r="E16" i="5" s="1"/>
  <c r="F16" i="5" s="1"/>
  <c r="J10" i="9"/>
  <c r="E15" i="5" s="1"/>
  <c r="F15" i="5" s="1"/>
  <c r="J9" i="9"/>
  <c r="E14" i="5" s="1"/>
  <c r="F14" i="5" s="1"/>
  <c r="J8" i="9"/>
  <c r="E13" i="5" s="1"/>
  <c r="F13" i="5" s="1"/>
  <c r="J7" i="9"/>
  <c r="E10" i="5" s="1"/>
  <c r="F10" i="5" s="1"/>
  <c r="J6" i="9"/>
  <c r="E8" i="5" s="1"/>
  <c r="J5" i="9"/>
  <c r="E6" i="5" s="1"/>
  <c r="F8" i="5" l="1"/>
  <c r="L8" i="5" s="1"/>
  <c r="L28" i="5"/>
  <c r="L10" i="5"/>
  <c r="F6" i="5"/>
  <c r="L6" i="5" s="1"/>
  <c r="J11" i="5"/>
  <c r="H7" i="5"/>
  <c r="J7" i="5"/>
  <c r="J12" i="5"/>
  <c r="L9" i="5"/>
  <c r="C18" i="4"/>
  <c r="C17" i="4"/>
  <c r="B19" i="4"/>
  <c r="B18" i="4"/>
  <c r="B17" i="4"/>
  <c r="B16" i="4"/>
  <c r="A2" i="4"/>
  <c r="L12" i="5" l="1"/>
  <c r="J29" i="5"/>
  <c r="I6" i="3" s="1"/>
  <c r="L7" i="5"/>
  <c r="L11" i="5"/>
  <c r="K10" i="6"/>
  <c r="F13" i="4" l="1"/>
  <c r="I56" i="8"/>
  <c r="I39" i="8"/>
  <c r="K39" i="8" s="1"/>
  <c r="L75" i="5" l="1"/>
  <c r="D33" i="5"/>
  <c r="H33" i="5" s="1"/>
  <c r="D32" i="5"/>
  <c r="F32" i="5" s="1"/>
  <c r="K51" i="8"/>
  <c r="K52" i="8" l="1"/>
  <c r="K53" i="8" s="1"/>
  <c r="G14" i="4" l="1"/>
  <c r="I49" i="5" s="1"/>
  <c r="J49" i="5" s="1"/>
  <c r="J50" i="5" s="1"/>
  <c r="A2" i="9"/>
  <c r="A2" i="6"/>
  <c r="G21" i="4"/>
  <c r="F21" i="4"/>
  <c r="G19" i="4"/>
  <c r="G18" i="4"/>
  <c r="E18" i="4"/>
  <c r="G17" i="4"/>
  <c r="E17" i="4"/>
  <c r="G16" i="4"/>
  <c r="F16" i="4"/>
  <c r="E16" i="4"/>
  <c r="A2" i="2"/>
  <c r="E19" i="4" l="1"/>
  <c r="H19" i="4"/>
  <c r="F29" i="5"/>
  <c r="F17" i="4"/>
  <c r="F18" i="4"/>
  <c r="G11" i="4"/>
  <c r="L49" i="5"/>
  <c r="F14" i="4"/>
  <c r="H14" i="4"/>
  <c r="I9" i="3"/>
  <c r="F19" i="4"/>
  <c r="L42" i="5"/>
  <c r="L55" i="5"/>
  <c r="L41" i="5"/>
  <c r="L58" i="5"/>
  <c r="L40" i="5"/>
  <c r="L57" i="5"/>
  <c r="L39" i="5"/>
  <c r="L43" i="5"/>
  <c r="L56" i="5"/>
  <c r="I8" i="3"/>
  <c r="H17" i="4"/>
  <c r="H16" i="4"/>
  <c r="H21" i="4"/>
  <c r="H18" i="4"/>
  <c r="L68" i="5"/>
  <c r="L65" i="5"/>
  <c r="L66" i="5"/>
  <c r="L59" i="5" l="1"/>
  <c r="K9" i="3" s="1"/>
  <c r="L67" i="5"/>
  <c r="L63" i="5"/>
  <c r="G9" i="3"/>
  <c r="L33" i="5"/>
  <c r="E6" i="3"/>
  <c r="H4" i="4"/>
  <c r="F45" i="5"/>
  <c r="E13" i="3"/>
  <c r="E14" i="3" s="1"/>
  <c r="I13" i="3"/>
  <c r="I14" i="3" s="1"/>
  <c r="L64" i="5"/>
  <c r="L44" i="5"/>
  <c r="L36" i="5"/>
  <c r="H11" i="4"/>
  <c r="H29" i="5" l="1"/>
  <c r="L29" i="5" s="1"/>
  <c r="K6" i="3" s="1"/>
  <c r="J45" i="5"/>
  <c r="L62" i="5"/>
  <c r="H76" i="5"/>
  <c r="L76" i="5" s="1"/>
  <c r="H45" i="5"/>
  <c r="L32" i="5"/>
  <c r="L38" i="5"/>
  <c r="L27" i="5" l="1"/>
  <c r="L45" i="5"/>
  <c r="K7" i="3" s="1"/>
  <c r="G7" i="3"/>
  <c r="H50" i="5"/>
  <c r="G8" i="3" s="1"/>
  <c r="G13" i="3"/>
  <c r="G14" i="3" s="1"/>
  <c r="G6" i="3"/>
  <c r="I7" i="3"/>
  <c r="I10" i="3" s="1"/>
  <c r="I15" i="3" s="1"/>
  <c r="D9" i="2" s="1"/>
  <c r="K14" i="3"/>
  <c r="H13" i="4"/>
  <c r="G10" i="3" l="1"/>
  <c r="G15" i="3" s="1"/>
  <c r="E7" i="3"/>
  <c r="F50" i="5" l="1"/>
  <c r="L50" i="5" s="1"/>
  <c r="K8" i="3" s="1"/>
  <c r="L48" i="5" l="1"/>
  <c r="D6" i="2"/>
  <c r="D7" i="2" l="1"/>
  <c r="D8" i="2" s="1"/>
  <c r="D11" i="2" s="1"/>
  <c r="E8" i="3"/>
  <c r="E10" i="3" s="1"/>
  <c r="D10" i="2" l="1"/>
  <c r="E15" i="3"/>
  <c r="D4" i="2" s="1"/>
  <c r="K10" i="3"/>
  <c r="K15" i="3" s="1"/>
  <c r="D5" i="2" l="1"/>
  <c r="D12" i="2" s="1"/>
  <c r="D15" i="2" s="1"/>
  <c r="D14" i="2" l="1"/>
  <c r="D13" i="2"/>
  <c r="D16" i="2"/>
  <c r="D17" i="2" l="1"/>
  <c r="D18" i="2" s="1"/>
  <c r="D19" i="2" s="1"/>
  <c r="D20" i="2" s="1"/>
  <c r="D21" i="2" l="1"/>
  <c r="C13" i="1" l="1"/>
  <c r="C15" i="1" s="1"/>
  <c r="D22" i="2"/>
</calcChain>
</file>

<file path=xl/comments1.xml><?xml version="1.0" encoding="utf-8"?>
<comments xmlns="http://schemas.openxmlformats.org/spreadsheetml/2006/main">
  <authors>
    <author>Windows 사용자</author>
    <author>user</author>
  </authors>
  <commentList>
    <comment ref="D10" authorId="0" shapeId="0">
      <text>
        <r>
          <rPr>
            <b/>
            <sz val="9"/>
            <color indexed="81"/>
            <rFont val="돋움"/>
            <family val="3"/>
            <charset val="129"/>
          </rPr>
          <t>①</t>
        </r>
      </text>
    </comment>
    <comment ref="D11" authorId="0" shapeId="0">
      <text>
        <r>
          <rPr>
            <b/>
            <sz val="9"/>
            <color indexed="81"/>
            <rFont val="돋움"/>
            <family val="3"/>
            <charset val="129"/>
          </rPr>
          <t>①</t>
        </r>
      </text>
    </comment>
    <comment ref="D12" authorId="0" shapeId="0">
      <text>
        <r>
          <rPr>
            <b/>
            <sz val="9"/>
            <color indexed="81"/>
            <rFont val="돋움"/>
            <family val="3"/>
            <charset val="129"/>
          </rPr>
          <t>①</t>
        </r>
      </text>
    </comment>
    <comment ref="F12" authorId="1" shapeId="0">
      <text>
        <r>
          <rPr>
            <sz val="9"/>
            <color indexed="81"/>
            <rFont val="돋움"/>
            <family val="3"/>
            <charset val="129"/>
          </rPr>
          <t>착공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준공서류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미만인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돋움"/>
            <family val="3"/>
            <charset val="129"/>
          </rPr>
          <t>①</t>
        </r>
      </text>
    </comment>
    <comment ref="F13" authorId="1" shapeId="0">
      <text>
        <r>
          <rPr>
            <sz val="9"/>
            <color indexed="81"/>
            <rFont val="돋움"/>
            <family val="3"/>
            <charset val="129"/>
          </rPr>
          <t>착공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준공서류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미만인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돋움"/>
            <family val="3"/>
            <charset val="129"/>
          </rPr>
          <t>①</t>
        </r>
      </text>
    </comment>
    <comment ref="F15" authorId="1" shapeId="0">
      <text>
        <r>
          <rPr>
            <sz val="9"/>
            <color indexed="81"/>
            <rFont val="돋움"/>
            <family val="3"/>
            <charset val="129"/>
          </rPr>
          <t>착공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준공서류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미만인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돋움"/>
            <family val="3"/>
            <charset val="129"/>
          </rPr>
          <t>①</t>
        </r>
      </text>
    </comment>
    <comment ref="D21" authorId="1" shapeId="0">
      <text>
        <r>
          <rPr>
            <b/>
            <sz val="9"/>
            <color indexed="81"/>
            <rFont val="Tahoma"/>
            <family val="2"/>
          </rPr>
          <t xml:space="preserve">rouddown </t>
        </r>
        <r>
          <rPr>
            <b/>
            <sz val="9"/>
            <color indexed="81"/>
            <rFont val="돋움"/>
            <family val="3"/>
            <charset val="129"/>
          </rPr>
          <t>함수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만단위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6" authorId="0" shapeId="0">
      <text>
        <r>
          <rPr>
            <b/>
            <sz val="9"/>
            <color indexed="81"/>
            <rFont val="돋움"/>
            <family val="3"/>
            <charset val="129"/>
          </rPr>
          <t>①</t>
        </r>
      </text>
    </comment>
    <comment ref="E8" authorId="0" shapeId="0">
      <text>
        <r>
          <rPr>
            <b/>
            <sz val="9"/>
            <color indexed="81"/>
            <rFont val="돋움"/>
            <family val="3"/>
            <charset val="129"/>
          </rPr>
          <t>②</t>
        </r>
      </text>
    </comment>
    <comment ref="F11" authorId="0" shapeId="0">
      <text>
        <r>
          <rPr>
            <b/>
            <sz val="9"/>
            <color indexed="81"/>
            <rFont val="돋움"/>
            <family val="3"/>
            <charset val="129"/>
          </rPr>
          <t>③</t>
        </r>
      </text>
    </comment>
    <comment ref="E12" authorId="0" shapeId="0">
      <text>
        <r>
          <rPr>
            <b/>
            <sz val="9"/>
            <color indexed="81"/>
            <rFont val="돋움"/>
            <family val="3"/>
            <charset val="129"/>
          </rPr>
          <t>④</t>
        </r>
      </text>
    </comment>
    <comment ref="M12" authorId="0" shapeId="0">
      <text>
        <r>
          <rPr>
            <b/>
            <sz val="9"/>
            <color indexed="81"/>
            <rFont val="돋움"/>
            <family val="3"/>
            <charset val="129"/>
          </rPr>
          <t>⑤</t>
        </r>
      </text>
    </comment>
    <comment ref="M32" authorId="0" shapeId="0">
      <text>
        <r>
          <rPr>
            <b/>
            <sz val="9"/>
            <color indexed="81"/>
            <rFont val="돋움"/>
            <family val="3"/>
            <charset val="129"/>
          </rPr>
          <t>⑥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6" authorId="0" shapeId="0">
      <text>
        <r>
          <rPr>
            <b/>
            <sz val="9"/>
            <color indexed="81"/>
            <rFont val="돋움"/>
            <family val="3"/>
            <charset val="129"/>
          </rPr>
          <t>노임단가는</t>
        </r>
        <r>
          <rPr>
            <b/>
            <sz val="9"/>
            <color indexed="81"/>
            <rFont val="Tahoma"/>
            <family val="2"/>
          </rPr>
          <t xml:space="preserve"> 2021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노임단가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적용
</t>
        </r>
      </text>
    </comment>
  </commentList>
</comments>
</file>

<file path=xl/comments4.xml><?xml version="1.0" encoding="utf-8"?>
<comments xmlns="http://schemas.openxmlformats.org/spreadsheetml/2006/main">
  <authors>
    <author>Windows 사용자</author>
    <author>user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물량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번호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품명번호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표기</t>
        </r>
      </text>
    </comment>
    <comment ref="D12" authorId="1" shapeId="0">
      <text>
        <r>
          <rPr>
            <u/>
            <sz val="9"/>
            <color indexed="10"/>
            <rFont val="맑은 고딕"/>
            <family val="3"/>
            <charset val="129"/>
          </rPr>
          <t>도면의 수치를 계산식 적용하여 산출
이하 물량산출 방법은 동일하게 적용할 것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적용수량은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산술식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적용
</t>
        </r>
        <r>
          <rPr>
            <b/>
            <sz val="9"/>
            <color indexed="81"/>
            <rFont val="Tahoma"/>
            <family val="2"/>
          </rPr>
          <t xml:space="preserve">* rounddown </t>
        </r>
        <r>
          <rPr>
            <b/>
            <sz val="9"/>
            <color indexed="81"/>
            <rFont val="돋움"/>
            <family val="3"/>
            <charset val="129"/>
          </rPr>
          <t>함수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수량은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소수점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자리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
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아래부터의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</text>
    </comment>
    <comment ref="I19" authorId="1" shapeId="0">
      <text>
        <r>
          <rPr>
            <b/>
            <sz val="9"/>
            <color indexed="81"/>
            <rFont val="돋움"/>
            <family val="3"/>
            <charset val="129"/>
          </rPr>
          <t>노무비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수량은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금지</t>
        </r>
      </text>
    </comment>
    <comment ref="I21" authorId="1" shapeId="0">
      <text>
        <r>
          <rPr>
            <b/>
            <sz val="9"/>
            <color indexed="81"/>
            <rFont val="돋움"/>
            <family val="3"/>
            <charset val="129"/>
          </rPr>
          <t>자재비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B82" authorId="1" shapeId="0">
      <text>
        <r>
          <rPr>
            <b/>
            <sz val="9"/>
            <color indexed="81"/>
            <rFont val="돋움"/>
            <family val="3"/>
            <charset val="129"/>
          </rPr>
          <t>형식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정격차단용량은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설명용으로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것임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실재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주의</t>
        </r>
      </text>
    </comment>
  </commentList>
</comments>
</file>

<file path=xl/comments5.xml><?xml version="1.0" encoding="utf-8"?>
<comments xmlns="http://schemas.openxmlformats.org/spreadsheetml/2006/main">
  <authors>
    <author>Windows 사용자</author>
  </authors>
  <commentList>
    <comment ref="E5" authorId="0" shapeId="0">
      <text>
        <r>
          <rPr>
            <b/>
            <sz val="9"/>
            <color indexed="81"/>
            <rFont val="돋움"/>
            <family val="3"/>
            <charset val="129"/>
          </rPr>
          <t>근거자료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출력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첨부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
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첨부
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밑줄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표시
</t>
        </r>
      </text>
    </comment>
    <comment ref="J5" authorId="0" shapeId="0">
      <text>
        <r>
          <rPr>
            <b/>
            <sz val="9"/>
            <color indexed="81"/>
            <rFont val="돋움"/>
            <family val="3"/>
            <charset val="129"/>
          </rPr>
          <t>엑셀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함수</t>
        </r>
        <r>
          <rPr>
            <b/>
            <sz val="9"/>
            <color indexed="81"/>
            <rFont val="Tahoma"/>
            <family val="2"/>
          </rPr>
          <t xml:space="preserve"> min </t>
        </r>
        <r>
          <rPr>
            <b/>
            <sz val="9"/>
            <color indexed="81"/>
            <rFont val="돋움"/>
            <family val="3"/>
            <charset val="129"/>
          </rPr>
          <t>사용할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</text>
    </comment>
  </commentList>
</comments>
</file>

<file path=xl/sharedStrings.xml><?xml version="1.0" encoding="utf-8"?>
<sst xmlns="http://schemas.openxmlformats.org/spreadsheetml/2006/main" count="1194" uniqueCount="732">
  <si>
    <t>설   계   서</t>
    <phoneticPr fontId="2" type="noConversion"/>
  </si>
  <si>
    <t xml:space="preserve">▷ 보조금신청자 : </t>
    <phoneticPr fontId="2" type="noConversion"/>
  </si>
  <si>
    <t xml:space="preserve">▷ 사업장  위치  : </t>
    <phoneticPr fontId="2" type="noConversion"/>
  </si>
  <si>
    <t xml:space="preserve">▷ 시    설    명  : </t>
    <phoneticPr fontId="2" type="noConversion"/>
  </si>
  <si>
    <t>(원)</t>
    <phoneticPr fontId="2" type="noConversion"/>
  </si>
  <si>
    <t>공    사    원    가    계    산    서</t>
  </si>
  <si>
    <t>재   료   비</t>
    <phoneticPr fontId="10" type="noConversion"/>
  </si>
  <si>
    <t>노  무  비</t>
    <phoneticPr fontId="10" type="noConversion"/>
  </si>
  <si>
    <t>경       비</t>
    <phoneticPr fontId="10" type="noConversion"/>
  </si>
  <si>
    <t>집   계   표</t>
  </si>
  <si>
    <t>품          명</t>
    <phoneticPr fontId="2" type="noConversion"/>
  </si>
  <si>
    <t>규       격</t>
  </si>
  <si>
    <t>단위</t>
  </si>
  <si>
    <t>수량</t>
  </si>
  <si>
    <t>재  료  비</t>
  </si>
  <si>
    <t>노  무  비</t>
  </si>
  <si>
    <t>경    비</t>
  </si>
  <si>
    <t>합    계</t>
  </si>
  <si>
    <t>비고</t>
  </si>
  <si>
    <t>단가</t>
  </si>
  <si>
    <t>금액</t>
  </si>
  <si>
    <t>[ 합                  계 ]</t>
  </si>
  <si>
    <t>품          명</t>
  </si>
  <si>
    <t>kg</t>
    <phoneticPr fontId="2" type="noConversion"/>
  </si>
  <si>
    <t/>
  </si>
  <si>
    <t>매</t>
    <phoneticPr fontId="2" type="noConversion"/>
  </si>
  <si>
    <t>EA</t>
    <phoneticPr fontId="2" type="noConversion"/>
  </si>
  <si>
    <t>시간</t>
    <phoneticPr fontId="2" type="noConversion"/>
  </si>
  <si>
    <t>[ 합           계 ]</t>
  </si>
  <si>
    <t>녹막이페인트칠</t>
    <phoneticPr fontId="2" type="noConversion"/>
  </si>
  <si>
    <t>철재면 2회</t>
    <phoneticPr fontId="2" type="noConversion"/>
  </si>
  <si>
    <t>㎡</t>
    <phoneticPr fontId="2" type="noConversion"/>
  </si>
  <si>
    <t>유성 폐인트칠</t>
    <phoneticPr fontId="2" type="noConversion"/>
  </si>
  <si>
    <t>2회</t>
  </si>
  <si>
    <t>㎡</t>
    <phoneticPr fontId="2" type="noConversion"/>
  </si>
  <si>
    <t>EA</t>
    <phoneticPr fontId="2" type="noConversion"/>
  </si>
  <si>
    <t>온도계</t>
    <phoneticPr fontId="2" type="noConversion"/>
  </si>
  <si>
    <t>전류.전력 계측기(배출시설)</t>
    <phoneticPr fontId="2" type="noConversion"/>
  </si>
  <si>
    <t>EA</t>
    <phoneticPr fontId="2" type="noConversion"/>
  </si>
  <si>
    <t>전류.전력 계측기(방지시설)</t>
    <phoneticPr fontId="2" type="noConversion"/>
  </si>
  <si>
    <t>iot 게이트웨이</t>
    <phoneticPr fontId="2" type="noConversion"/>
  </si>
  <si>
    <t>SET</t>
    <phoneticPr fontId="2" type="noConversion"/>
  </si>
  <si>
    <t>VPN</t>
    <phoneticPr fontId="2" type="noConversion"/>
  </si>
  <si>
    <t>EA</t>
  </si>
  <si>
    <t>면</t>
    <phoneticPr fontId="2" type="noConversion"/>
  </si>
  <si>
    <t>판넬전선</t>
    <phoneticPr fontId="2" type="noConversion"/>
  </si>
  <si>
    <t>전선</t>
    <phoneticPr fontId="2" type="noConversion"/>
  </si>
  <si>
    <t>내   역   서</t>
    <phoneticPr fontId="1" type="noConversion"/>
  </si>
  <si>
    <t>일 위 대 가 목 록</t>
  </si>
  <si>
    <t>ton</t>
    <phoneticPr fontId="2" type="noConversion"/>
  </si>
  <si>
    <t>대</t>
    <phoneticPr fontId="2" type="noConversion"/>
  </si>
  <si>
    <t>㎡</t>
    <phoneticPr fontId="2" type="noConversion"/>
  </si>
  <si>
    <t>인</t>
    <phoneticPr fontId="2" type="noConversion"/>
  </si>
  <si>
    <t>인</t>
    <phoneticPr fontId="2" type="noConversion"/>
  </si>
  <si>
    <t>인</t>
    <phoneticPr fontId="2" type="noConversion"/>
  </si>
  <si>
    <t>인</t>
    <phoneticPr fontId="2" type="noConversion"/>
  </si>
  <si>
    <t>노무비</t>
  </si>
  <si>
    <t>철공</t>
  </si>
  <si>
    <t>인</t>
  </si>
  <si>
    <t>보통인부</t>
  </si>
  <si>
    <t>용접공</t>
  </si>
  <si>
    <t>특별인부</t>
  </si>
  <si>
    <t>식</t>
  </si>
  <si>
    <t>인</t>
    <phoneticPr fontId="2" type="noConversion"/>
  </si>
  <si>
    <t>노무비</t>
    <phoneticPr fontId="2" type="noConversion"/>
  </si>
  <si>
    <t>보통인부</t>
    <phoneticPr fontId="2" type="noConversion"/>
  </si>
  <si>
    <t>녹막이페인트</t>
    <phoneticPr fontId="2" type="noConversion"/>
  </si>
  <si>
    <t>kSM-6030</t>
    <phoneticPr fontId="2" type="noConversion"/>
  </si>
  <si>
    <t>L</t>
  </si>
  <si>
    <t>신너</t>
  </si>
  <si>
    <t>KSM-6060,2종</t>
  </si>
  <si>
    <t>잡재료</t>
  </si>
  <si>
    <t>주재료비의 3%</t>
  </si>
  <si>
    <t>도장공</t>
  </si>
  <si>
    <t>조합페인트(KSM6020)</t>
  </si>
  <si>
    <t>1종1급,황색</t>
  </si>
  <si>
    <t>주재료비의 4%</t>
  </si>
  <si>
    <t>16mm 이하</t>
    <phoneticPr fontId="2" type="noConversion"/>
  </si>
  <si>
    <t>내선전공</t>
    <phoneticPr fontId="2" type="noConversion"/>
  </si>
  <si>
    <t>세대분전반 설치(3회로)</t>
    <phoneticPr fontId="2" type="noConversion"/>
  </si>
  <si>
    <t>CT 저고압</t>
    <phoneticPr fontId="2" type="noConversion"/>
  </si>
  <si>
    <t>덕트공</t>
  </si>
  <si>
    <t>㎡</t>
    <phoneticPr fontId="2" type="noConversion"/>
  </si>
  <si>
    <t>m</t>
    <phoneticPr fontId="2" type="noConversion"/>
  </si>
  <si>
    <t>배관공</t>
  </si>
  <si>
    <t>일 위 대 가</t>
    <phoneticPr fontId="1" type="noConversion"/>
  </si>
  <si>
    <t>비고</t>
    <phoneticPr fontId="1" type="noConversion"/>
  </si>
  <si>
    <t>품셈 전기 5-10</t>
    <phoneticPr fontId="2" type="noConversion"/>
  </si>
  <si>
    <t>품셈 전기 5-18</t>
    <phoneticPr fontId="2" type="noConversion"/>
  </si>
  <si>
    <t>품셈 전기 5-21</t>
    <phoneticPr fontId="2" type="noConversion"/>
  </si>
  <si>
    <t xml:space="preserve">산 출 근 거 </t>
    <phoneticPr fontId="2" type="noConversion"/>
  </si>
  <si>
    <t>적용 물량</t>
    <phoneticPr fontId="2" type="noConversion"/>
  </si>
  <si>
    <t>도면 (품명) /
(부품표 번호)</t>
    <phoneticPr fontId="2" type="noConversion"/>
  </si>
  <si>
    <t>두께(t)</t>
    <phoneticPr fontId="2" type="noConversion"/>
  </si>
  <si>
    <t>폭(w)</t>
    <phoneticPr fontId="2" type="noConversion"/>
  </si>
  <si>
    <t>길이(L)</t>
    <phoneticPr fontId="2" type="noConversion"/>
  </si>
  <si>
    <t>개수</t>
    <phoneticPr fontId="2" type="noConversion"/>
  </si>
  <si>
    <t>적용 수량</t>
    <phoneticPr fontId="2" type="noConversion"/>
  </si>
  <si>
    <t>중량(kg)</t>
    <phoneticPr fontId="2" type="noConversion"/>
  </si>
  <si>
    <t>앵글(50 x 50 x6t)</t>
    <phoneticPr fontId="2" type="noConversion"/>
  </si>
  <si>
    <t>송풍기</t>
    <phoneticPr fontId="2" type="noConversion"/>
  </si>
  <si>
    <t>물가자료</t>
  </si>
  <si>
    <t>물가정보</t>
  </si>
  <si>
    <t>시장가격 (업체 견적가)</t>
    <phoneticPr fontId="2" type="noConversion"/>
  </si>
  <si>
    <t>적 용 단 가</t>
  </si>
  <si>
    <t>Page</t>
  </si>
  <si>
    <t>단가(A 업체)</t>
    <phoneticPr fontId="2" type="noConversion"/>
  </si>
  <si>
    <t>단가(B 업체)</t>
    <phoneticPr fontId="2" type="noConversion"/>
  </si>
  <si>
    <t>직종명</t>
    <phoneticPr fontId="2" type="noConversion"/>
  </si>
  <si>
    <t>단가</t>
    <phoneticPr fontId="2" type="noConversion"/>
  </si>
  <si>
    <t>작업반장</t>
  </si>
  <si>
    <t>조력공</t>
  </si>
  <si>
    <t>제도사</t>
  </si>
  <si>
    <t>비계공</t>
  </si>
  <si>
    <t>형틀목공</t>
  </si>
  <si>
    <t>철근공</t>
  </si>
  <si>
    <t>철판공</t>
  </si>
  <si>
    <t>철골공</t>
  </si>
  <si>
    <t>콘크리트공</t>
  </si>
  <si>
    <t>보링공</t>
  </si>
  <si>
    <t>*1015</t>
  </si>
  <si>
    <t>착암공</t>
  </si>
  <si>
    <t>화약취급공</t>
  </si>
  <si>
    <t>할석공</t>
  </si>
  <si>
    <t>*1018</t>
  </si>
  <si>
    <t>포설공</t>
  </si>
  <si>
    <t>포장공</t>
  </si>
  <si>
    <t>잠수부</t>
  </si>
  <si>
    <t>조적공</t>
  </si>
  <si>
    <t>견출공</t>
  </si>
  <si>
    <t>건축목공</t>
  </si>
  <si>
    <t>창호공</t>
  </si>
  <si>
    <t>유리공</t>
  </si>
  <si>
    <t>방수공</t>
  </si>
  <si>
    <t>미장공</t>
  </si>
  <si>
    <t>타일공</t>
  </si>
  <si>
    <t>내장공</t>
  </si>
  <si>
    <t>도배공</t>
  </si>
  <si>
    <t>*1032</t>
  </si>
  <si>
    <t>연마공</t>
  </si>
  <si>
    <t>석공</t>
  </si>
  <si>
    <t>줄눈공</t>
  </si>
  <si>
    <t>판넬조립공</t>
  </si>
  <si>
    <t>지붕잇기공</t>
  </si>
  <si>
    <t>*1037</t>
  </si>
  <si>
    <t>벌목부</t>
  </si>
  <si>
    <t>조경공</t>
  </si>
  <si>
    <t>보일러공</t>
  </si>
  <si>
    <t>위생공</t>
  </si>
  <si>
    <t>보온공</t>
  </si>
  <si>
    <t>인력운반공</t>
  </si>
  <si>
    <t>궤도공</t>
  </si>
  <si>
    <t>*1047</t>
  </si>
  <si>
    <t>건설기계조장</t>
  </si>
  <si>
    <t>건설기계운전사</t>
  </si>
  <si>
    <t>*1049</t>
  </si>
  <si>
    <t>화물차운전사</t>
  </si>
  <si>
    <t>*1050</t>
  </si>
  <si>
    <t>일반기계운전사</t>
  </si>
  <si>
    <t>기계설비공</t>
  </si>
  <si>
    <t>**1052</t>
  </si>
  <si>
    <t>준설선선장</t>
  </si>
  <si>
    <t>-</t>
  </si>
  <si>
    <t>**1053</t>
  </si>
  <si>
    <t>준설선기관사</t>
  </si>
  <si>
    <t>*1054</t>
  </si>
  <si>
    <t>준설선운전사</t>
  </si>
  <si>
    <t>*1055</t>
  </si>
  <si>
    <t>선원</t>
  </si>
  <si>
    <t>플랜트배관공</t>
  </si>
  <si>
    <t>플랜트제관공</t>
  </si>
  <si>
    <t>플랜트용접공</t>
  </si>
  <si>
    <t>*1059</t>
  </si>
  <si>
    <t>플랜트특수용접공</t>
  </si>
  <si>
    <t>플랜트기계설치공</t>
  </si>
  <si>
    <t>플랜트특별인부</t>
  </si>
  <si>
    <t>플랜트케이블전공</t>
  </si>
  <si>
    <t>플랜트계장공</t>
  </si>
  <si>
    <t>*1064</t>
  </si>
  <si>
    <t>플랜트덕트공</t>
  </si>
  <si>
    <t>*1065</t>
  </si>
  <si>
    <t>플랜트보온공</t>
  </si>
  <si>
    <t>*1066</t>
  </si>
  <si>
    <t>제철축로공</t>
  </si>
  <si>
    <t>비파괴시험공</t>
  </si>
  <si>
    <t>*1068</t>
  </si>
  <si>
    <t>특급품질관리원</t>
  </si>
  <si>
    <t>*1069</t>
  </si>
  <si>
    <t>고급품질관리원</t>
  </si>
  <si>
    <t>*1070</t>
  </si>
  <si>
    <t>중급품질관리원</t>
  </si>
  <si>
    <t>*1071</t>
  </si>
  <si>
    <t>초급품질관리원</t>
  </si>
  <si>
    <t>지적기사</t>
  </si>
  <si>
    <t>지적산업기사</t>
  </si>
  <si>
    <t>지적기능사</t>
  </si>
  <si>
    <t>내선전공</t>
  </si>
  <si>
    <t>특고압케이블전공</t>
  </si>
  <si>
    <t>고압케이블전공</t>
  </si>
  <si>
    <t>저압케이블전공</t>
  </si>
  <si>
    <t>송전전공</t>
  </si>
  <si>
    <t>송전활선전공</t>
  </si>
  <si>
    <t>배전전공</t>
  </si>
  <si>
    <t>배전활선전공</t>
  </si>
  <si>
    <t>플랜트전공</t>
  </si>
  <si>
    <t>계장공</t>
  </si>
  <si>
    <t>철도신호공</t>
  </si>
  <si>
    <t>통신내선공</t>
  </si>
  <si>
    <t>통신설비공</t>
  </si>
  <si>
    <t>통신외선공</t>
  </si>
  <si>
    <t>통신케이블공</t>
  </si>
  <si>
    <t>무선안테나공</t>
  </si>
  <si>
    <t>*1091</t>
  </si>
  <si>
    <t>석면해체공</t>
  </si>
  <si>
    <t>광케이블설치사</t>
  </si>
  <si>
    <t>*3001</t>
  </si>
  <si>
    <t>도편수</t>
  </si>
  <si>
    <t>*3002</t>
  </si>
  <si>
    <t>드잡이공</t>
  </si>
  <si>
    <t>한식목공</t>
  </si>
  <si>
    <t>*3004</t>
  </si>
  <si>
    <t>한식목공조공</t>
  </si>
  <si>
    <t>한식석공</t>
  </si>
  <si>
    <t>*3006</t>
  </si>
  <si>
    <t>한식미장공</t>
  </si>
  <si>
    <t>*3007</t>
  </si>
  <si>
    <t>한식와공</t>
  </si>
  <si>
    <t>*3008</t>
  </si>
  <si>
    <t>한식와공조공</t>
  </si>
  <si>
    <t>*3009</t>
  </si>
  <si>
    <t>목조각공</t>
  </si>
  <si>
    <t>**3010</t>
  </si>
  <si>
    <t>석조각공</t>
  </si>
  <si>
    <t>**3011</t>
  </si>
  <si>
    <t>특수화공</t>
  </si>
  <si>
    <t>**3012</t>
  </si>
  <si>
    <t>**3013</t>
  </si>
  <si>
    <t>드잡이공편수</t>
  </si>
  <si>
    <t>**3014</t>
  </si>
  <si>
    <t>한식미장공편수</t>
  </si>
  <si>
    <t>**3015</t>
  </si>
  <si>
    <t>한식와공편수</t>
  </si>
  <si>
    <t>**3016</t>
  </si>
  <si>
    <t>한식단청공편수</t>
  </si>
  <si>
    <t>*3017</t>
  </si>
  <si>
    <t>한식석공조공</t>
  </si>
  <si>
    <t>*3018</t>
  </si>
  <si>
    <t>한식미장공조공</t>
  </si>
  <si>
    <t>원자력플랜트전공</t>
  </si>
  <si>
    <t>원자력용접공</t>
  </si>
  <si>
    <t>원자력기계설치공</t>
  </si>
  <si>
    <t>원자력품질관리사</t>
  </si>
  <si>
    <t>통신관련기사</t>
  </si>
  <si>
    <t>통신관련산업기사</t>
  </si>
  <si>
    <t>통신관련기능사</t>
  </si>
  <si>
    <t>전기공사기사</t>
  </si>
  <si>
    <t>전기공사산업기사</t>
  </si>
  <si>
    <t>변전전공</t>
  </si>
  <si>
    <t>코킹공</t>
  </si>
  <si>
    <t>식</t>
    <phoneticPr fontId="1" type="noConversion"/>
  </si>
  <si>
    <t>(kg/㎡)</t>
  </si>
  <si>
    <t>단위중량</t>
    <phoneticPr fontId="2" type="noConversion"/>
  </si>
  <si>
    <t>kg/m</t>
    <phoneticPr fontId="1" type="noConversion"/>
  </si>
  <si>
    <t>익스팬션 메탈</t>
    <phoneticPr fontId="1" type="noConversion"/>
  </si>
  <si>
    <t>m</t>
    <phoneticPr fontId="1" type="noConversion"/>
  </si>
  <si>
    <t>소계</t>
    <phoneticPr fontId="1" type="noConversion"/>
  </si>
  <si>
    <t>식</t>
    <phoneticPr fontId="1" type="noConversion"/>
  </si>
  <si>
    <t>면</t>
    <phoneticPr fontId="1" type="noConversion"/>
  </si>
  <si>
    <t xml:space="preserve"> [소              계]</t>
    <phoneticPr fontId="10" type="noConversion"/>
  </si>
  <si>
    <t>[소               계]</t>
    <phoneticPr fontId="10" type="noConversion"/>
  </si>
  <si>
    <t>[소            계]</t>
    <phoneticPr fontId="10" type="noConversion"/>
  </si>
  <si>
    <t>시트명</t>
    <phoneticPr fontId="1" type="noConversion"/>
  </si>
  <si>
    <t>물량산출표</t>
    <phoneticPr fontId="1" type="noConversion"/>
  </si>
  <si>
    <t>일위대가목록</t>
    <phoneticPr fontId="1" type="noConversion"/>
  </si>
  <si>
    <t>집계표</t>
    <phoneticPr fontId="1" type="noConversion"/>
  </si>
  <si>
    <t>방지시설  종류, 용량등 산출</t>
    <phoneticPr fontId="1" type="noConversion"/>
  </si>
  <si>
    <t>방지시설을 설치할 사업장 방문 현장여건 등 조사(기존 배출시설, 방지시설, 배출오염물질, 사용원료 등)</t>
    <phoneticPr fontId="1" type="noConversion"/>
  </si>
  <si>
    <t>ea</t>
  </si>
  <si>
    <t>순번</t>
    <phoneticPr fontId="1" type="noConversion"/>
  </si>
  <si>
    <t>1호표</t>
    <phoneticPr fontId="1" type="noConversion"/>
  </si>
  <si>
    <t>2호표</t>
    <phoneticPr fontId="1" type="noConversion"/>
  </si>
  <si>
    <t>10호표</t>
    <phoneticPr fontId="1" type="noConversion"/>
  </si>
  <si>
    <t>12호표</t>
  </si>
  <si>
    <t>12호표</t>
    <phoneticPr fontId="1" type="noConversion"/>
  </si>
  <si>
    <t>13호표</t>
  </si>
  <si>
    <t>13호표</t>
    <phoneticPr fontId="1" type="noConversion"/>
  </si>
  <si>
    <t>14호표</t>
  </si>
  <si>
    <t>14호표</t>
    <phoneticPr fontId="1" type="noConversion"/>
  </si>
  <si>
    <t>15호표</t>
  </si>
  <si>
    <t>15호표</t>
    <phoneticPr fontId="1" type="noConversion"/>
  </si>
  <si>
    <t>16호표</t>
  </si>
  <si>
    <t>16호표</t>
    <phoneticPr fontId="1" type="noConversion"/>
  </si>
  <si>
    <t>17호표</t>
    <phoneticPr fontId="1" type="noConversion"/>
  </si>
  <si>
    <t>강재류 조립설치 (ton 당)</t>
  </si>
  <si>
    <t>녹막이페인트칠  2회 (㎡당)</t>
  </si>
  <si>
    <t>유성페인트칠  철재면2회 (㎡당)</t>
  </si>
  <si>
    <t>옥내배선</t>
  </si>
  <si>
    <t>분전반 조립 및 설치</t>
  </si>
  <si>
    <t xml:space="preserve">전력량계 및 부속장치 설치 </t>
  </si>
  <si>
    <t>견적처리시 부가세 제외</t>
    <phoneticPr fontId="1" type="noConversion"/>
  </si>
  <si>
    <r>
      <t xml:space="preserve">모든 일위대가는 품셈 및 적산정보의 </t>
    </r>
    <r>
      <rPr>
        <sz val="10"/>
        <color rgb="FFFF0000"/>
        <rFont val="돋움"/>
        <family val="3"/>
        <charset val="129"/>
      </rPr>
      <t>기준 단위</t>
    </r>
    <r>
      <rPr>
        <sz val="10"/>
        <color theme="1"/>
        <rFont val="돋움"/>
        <family val="3"/>
        <charset val="129"/>
      </rPr>
      <t>대로 작성할 것,
작성 후 품셈, 적산정보 자료 출력 첨부</t>
    </r>
    <phoneticPr fontId="1" type="noConversion"/>
  </si>
  <si>
    <t>단 가 조 사 표</t>
    <phoneticPr fontId="1" type="noConversion"/>
  </si>
  <si>
    <t>①</t>
    <phoneticPr fontId="1" type="noConversion"/>
  </si>
  <si>
    <t>②</t>
    <phoneticPr fontId="1" type="noConversion"/>
  </si>
  <si>
    <t xml:space="preserve"> 구성비 (%)</t>
    <phoneticPr fontId="1" type="noConversion"/>
  </si>
  <si>
    <t>비고</t>
    <phoneticPr fontId="1" type="noConversion"/>
  </si>
  <si>
    <t>금액</t>
    <phoneticPr fontId="1" type="noConversion"/>
  </si>
  <si>
    <t>순공사원가</t>
    <phoneticPr fontId="10" type="noConversion"/>
  </si>
  <si>
    <t>합계금액</t>
    <phoneticPr fontId="10" type="noConversion"/>
  </si>
  <si>
    <t>일반관리비</t>
    <phoneticPr fontId="10" type="noConversion"/>
  </si>
  <si>
    <t>이윤</t>
    <phoneticPr fontId="10" type="noConversion"/>
  </si>
  <si>
    <t>최종 합계 금액은 만단위 이하 절사</t>
    <phoneticPr fontId="1" type="noConversion"/>
  </si>
  <si>
    <t>순공사원가합계</t>
    <phoneticPr fontId="10" type="noConversion"/>
  </si>
  <si>
    <t>내역서 파일 명 작성</t>
    <phoneticPr fontId="1" type="noConversion"/>
  </si>
  <si>
    <t>내역서에 IoT 설치 공사 포함 할 것</t>
    <phoneticPr fontId="1" type="noConversion"/>
  </si>
  <si>
    <t>제공된 파일을 다른이름으로 저장(파일이름은 신청 회사 상호로 작성)</t>
    <phoneticPr fontId="1" type="noConversion"/>
  </si>
  <si>
    <t>내역서 작성 방법</t>
    <phoneticPr fontId="1" type="noConversion"/>
  </si>
  <si>
    <t>샘플로 입력된 내용은 전부 삭제 후 메모된 방법에 따라 작성</t>
    <phoneticPr fontId="1" type="noConversion"/>
  </si>
  <si>
    <t>직접재료비</t>
    <phoneticPr fontId="1" type="noConversion"/>
  </si>
  <si>
    <t>직접노무비</t>
  </si>
  <si>
    <t>기계경비</t>
  </si>
  <si>
    <t>기계손료</t>
    <phoneticPr fontId="2" type="noConversion"/>
  </si>
  <si>
    <t>식</t>
    <phoneticPr fontId="2" type="noConversion"/>
  </si>
  <si>
    <t>경유</t>
    <phoneticPr fontId="1" type="noConversion"/>
  </si>
  <si>
    <t>건설기계운전사</t>
    <phoneticPr fontId="1" type="noConversion"/>
  </si>
  <si>
    <t>인</t>
    <phoneticPr fontId="1" type="noConversion"/>
  </si>
  <si>
    <t>l</t>
    <phoneticPr fontId="1" type="noConversion"/>
  </si>
  <si>
    <t>잡재료비(주연료비의 20%)</t>
    <phoneticPr fontId="1" type="noConversion"/>
  </si>
  <si>
    <t>식</t>
    <phoneticPr fontId="1" type="noConversion"/>
  </si>
  <si>
    <t>적산 679</t>
    <phoneticPr fontId="2" type="noConversion"/>
  </si>
  <si>
    <t>공사금액 및 보조금 부담비율 입력</t>
    <phoneticPr fontId="1" type="noConversion"/>
  </si>
  <si>
    <t>몸체 (PVC)</t>
    <phoneticPr fontId="2" type="noConversion"/>
  </si>
  <si>
    <t>몸체 바닥 BASE (PVC)</t>
    <phoneticPr fontId="2" type="noConversion"/>
  </si>
  <si>
    <t>보조탱크 (PVC)</t>
    <phoneticPr fontId="2" type="noConversion"/>
  </si>
  <si>
    <t>소  계</t>
    <phoneticPr fontId="1" type="noConversion"/>
  </si>
  <si>
    <t>맨홀</t>
    <phoneticPr fontId="1" type="noConversion"/>
  </si>
  <si>
    <t>600A x 2</t>
    <phoneticPr fontId="1" type="noConversion"/>
  </si>
  <si>
    <t>맨홀 막음판</t>
    <phoneticPr fontId="1" type="noConversion"/>
  </si>
  <si>
    <t>400x400</t>
    <phoneticPr fontId="1" type="noConversion"/>
  </si>
  <si>
    <t>50x400</t>
    <phoneticPr fontId="1" type="noConversion"/>
  </si>
  <si>
    <t xml:space="preserve">보조탱크 (PVC) </t>
    <phoneticPr fontId="2" type="noConversion"/>
  </si>
  <si>
    <t>보조탱크 맨홀프랜지</t>
    <phoneticPr fontId="1" type="noConversion"/>
  </si>
  <si>
    <t>보조탱크 맨홀</t>
    <phoneticPr fontId="1" type="noConversion"/>
  </si>
  <si>
    <t>굴뚝</t>
    <phoneticPr fontId="1" type="noConversion"/>
  </si>
  <si>
    <t>굴뚝확대관</t>
    <phoneticPr fontId="1" type="noConversion"/>
  </si>
  <si>
    <t>소 계</t>
    <phoneticPr fontId="1" type="noConversion"/>
  </si>
  <si>
    <t>m</t>
    <phoneticPr fontId="1" type="noConversion"/>
  </si>
  <si>
    <t>65A x 3200Lx 2단</t>
    <phoneticPr fontId="1" type="noConversion"/>
  </si>
  <si>
    <t>ㅁ PIPE(100X100)</t>
    <phoneticPr fontId="1" type="noConversion"/>
  </si>
  <si>
    <t>철자재 (강재류)</t>
    <phoneticPr fontId="1" type="noConversion"/>
  </si>
  <si>
    <t>(1000x3)x2ea</t>
    <phoneticPr fontId="2" type="noConversion"/>
  </si>
  <si>
    <t>(1500x2)+ (1140x2) + (800x4)</t>
    <phoneticPr fontId="2" type="noConversion"/>
  </si>
  <si>
    <t>(1000L x 2500W) *2EA</t>
    <phoneticPr fontId="1" type="noConversion"/>
  </si>
  <si>
    <t xml:space="preserve"> (800x1140)</t>
    <phoneticPr fontId="1" type="noConversion"/>
  </si>
  <si>
    <t>평철(100X6)</t>
    <phoneticPr fontId="1" type="noConversion"/>
  </si>
  <si>
    <t>PIPE (25A)</t>
    <phoneticPr fontId="1" type="noConversion"/>
  </si>
  <si>
    <t>(4500+1700)x2단</t>
    <phoneticPr fontId="1" type="noConversion"/>
  </si>
  <si>
    <t>(4500+1700)x2ea + 1100x16ea) x 2단</t>
    <phoneticPr fontId="1" type="noConversion"/>
  </si>
  <si>
    <t>(2598 x 8ea) + 2000x3</t>
    <phoneticPr fontId="1" type="noConversion"/>
  </si>
  <si>
    <t>1140x2 +800)</t>
    <phoneticPr fontId="1" type="noConversion"/>
  </si>
  <si>
    <t xml:space="preserve">(1140+800)x2ea + 1100x6ea) </t>
    <phoneticPr fontId="1" type="noConversion"/>
  </si>
  <si>
    <t>도면 7,8</t>
    <phoneticPr fontId="1" type="noConversion"/>
  </si>
  <si>
    <t>평철(38X4.5)</t>
    <phoneticPr fontId="1" type="noConversion"/>
  </si>
  <si>
    <t>매</t>
    <phoneticPr fontId="1" type="noConversion"/>
  </si>
  <si>
    <t>㎡/매</t>
    <phoneticPr fontId="1" type="noConversion"/>
  </si>
  <si>
    <t>PVC PIPE</t>
    <phoneticPr fontId="1" type="noConversion"/>
  </si>
  <si>
    <t>식</t>
    <phoneticPr fontId="1" type="noConversion"/>
  </si>
  <si>
    <t>1호표</t>
    <phoneticPr fontId="1" type="noConversion"/>
  </si>
  <si>
    <t>기계산업기사(초급기술자)</t>
    <phoneticPr fontId="2" type="noConversion"/>
  </si>
  <si>
    <t>인</t>
    <phoneticPr fontId="2" type="noConversion"/>
  </si>
  <si>
    <t>철골공</t>
    <phoneticPr fontId="2" type="noConversion"/>
  </si>
  <si>
    <t>기계설비공</t>
    <phoneticPr fontId="2" type="noConversion"/>
  </si>
  <si>
    <t>용접공</t>
    <phoneticPr fontId="2" type="noConversion"/>
  </si>
  <si>
    <t>적산 885</t>
    <phoneticPr fontId="2" type="noConversion"/>
  </si>
  <si>
    <t>펌프</t>
    <phoneticPr fontId="1" type="noConversion"/>
  </si>
  <si>
    <t>적산 765</t>
    <phoneticPr fontId="2" type="noConversion"/>
  </si>
  <si>
    <t>기계설비공</t>
    <phoneticPr fontId="1" type="noConversion"/>
  </si>
  <si>
    <t>보통인부</t>
    <phoneticPr fontId="1" type="noConversion"/>
  </si>
  <si>
    <t>공구손료</t>
    <phoneticPr fontId="1" type="noConversion"/>
  </si>
  <si>
    <t>인건3%</t>
    <phoneticPr fontId="1" type="noConversion"/>
  </si>
  <si>
    <t>인</t>
    <phoneticPr fontId="1" type="noConversion"/>
  </si>
  <si>
    <t>2호표</t>
    <phoneticPr fontId="1" type="noConversion"/>
  </si>
  <si>
    <t>%</t>
    <phoneticPr fontId="1" type="noConversion"/>
  </si>
  <si>
    <t>적산 481</t>
    <phoneticPr fontId="2" type="noConversion"/>
  </si>
  <si>
    <t>플랜트전공</t>
    <phoneticPr fontId="2" type="noConversion"/>
  </si>
  <si>
    <t>적산 1080</t>
    <phoneticPr fontId="2" type="noConversion"/>
  </si>
  <si>
    <t>부재료비</t>
    <phoneticPr fontId="1" type="noConversion"/>
  </si>
  <si>
    <t>노무비</t>
    <phoneticPr fontId="1" type="noConversion"/>
  </si>
  <si>
    <t>용접공</t>
    <phoneticPr fontId="1" type="noConversion"/>
  </si>
  <si>
    <t>덕트공</t>
    <phoneticPr fontId="1" type="noConversion"/>
  </si>
  <si>
    <t>PVC 설치 (5T) M2당</t>
    <phoneticPr fontId="1" type="noConversion"/>
  </si>
  <si>
    <t>PVC 설치 (6T) M2당</t>
    <phoneticPr fontId="1" type="noConversion"/>
  </si>
  <si>
    <t>3호표</t>
    <phoneticPr fontId="1" type="noConversion"/>
  </si>
  <si>
    <t>4호표</t>
    <phoneticPr fontId="1" type="noConversion"/>
  </si>
  <si>
    <t>PVC 설치 (10T) M2당</t>
    <phoneticPr fontId="1" type="noConversion"/>
  </si>
  <si>
    <t>5호표</t>
    <phoneticPr fontId="1" type="noConversion"/>
  </si>
  <si>
    <t>PVC 설치 (15T) M2당</t>
    <phoneticPr fontId="1" type="noConversion"/>
  </si>
  <si>
    <t>6호표</t>
    <phoneticPr fontId="1" type="noConversion"/>
  </si>
  <si>
    <t>미장공</t>
    <phoneticPr fontId="1" type="noConversion"/>
  </si>
  <si>
    <t>도장공</t>
    <phoneticPr fontId="1" type="noConversion"/>
  </si>
  <si>
    <t>도배공</t>
    <phoneticPr fontId="1" type="noConversion"/>
  </si>
  <si>
    <t>특별인부</t>
    <phoneticPr fontId="1" type="noConversion"/>
  </si>
  <si>
    <t>프라이머</t>
    <phoneticPr fontId="1" type="noConversion"/>
  </si>
  <si>
    <t>내산수지</t>
    <phoneticPr fontId="1" type="noConversion"/>
  </si>
  <si>
    <t>보강층 유리섬유</t>
    <phoneticPr fontId="1" type="noConversion"/>
  </si>
  <si>
    <t>내식층 유리섬유</t>
    <phoneticPr fontId="1" type="noConversion"/>
  </si>
  <si>
    <t>마감수지</t>
    <phoneticPr fontId="1" type="noConversion"/>
  </si>
  <si>
    <t>kg</t>
    <phoneticPr fontId="1" type="noConversion"/>
  </si>
  <si>
    <t>재료비</t>
    <phoneticPr fontId="1" type="noConversion"/>
  </si>
  <si>
    <t>FRP 적층 -M2당</t>
    <phoneticPr fontId="1" type="noConversion"/>
  </si>
  <si>
    <t>7호표</t>
    <phoneticPr fontId="1" type="noConversion"/>
  </si>
  <si>
    <t>8호표</t>
    <phoneticPr fontId="1" type="noConversion"/>
  </si>
  <si>
    <t>9호표</t>
    <phoneticPr fontId="1" type="noConversion"/>
  </si>
  <si>
    <t>11호표</t>
    <phoneticPr fontId="1" type="noConversion"/>
  </si>
  <si>
    <t>3호표</t>
    <phoneticPr fontId="1" type="noConversion"/>
  </si>
  <si>
    <t>4호표</t>
    <phoneticPr fontId="1" type="noConversion"/>
  </si>
  <si>
    <t>5호표</t>
    <phoneticPr fontId="1" type="noConversion"/>
  </si>
  <si>
    <t>적산748</t>
    <phoneticPr fontId="1" type="noConversion"/>
  </si>
  <si>
    <t>적산749</t>
    <phoneticPr fontId="1" type="noConversion"/>
  </si>
  <si>
    <t>적산764</t>
    <phoneticPr fontId="1" type="noConversion"/>
  </si>
  <si>
    <t>8호표</t>
    <phoneticPr fontId="1" type="noConversion"/>
  </si>
  <si>
    <t>9호표</t>
    <phoneticPr fontId="1" type="noConversion"/>
  </si>
  <si>
    <t>10호표</t>
    <phoneticPr fontId="1" type="noConversion"/>
  </si>
  <si>
    <t>11호표</t>
    <phoneticPr fontId="1" type="noConversion"/>
  </si>
  <si>
    <t>여유율(10%)</t>
    <phoneticPr fontId="1" type="noConversion"/>
  </si>
  <si>
    <t>계</t>
    <phoneticPr fontId="1" type="noConversion"/>
  </si>
  <si>
    <t xml:space="preserve"> 1  기계공사</t>
    <phoneticPr fontId="2" type="noConversion"/>
  </si>
  <si>
    <t>pvc 평판</t>
    <phoneticPr fontId="2" type="noConversion"/>
  </si>
  <si>
    <t>10t</t>
    <phoneticPr fontId="2" type="noConversion"/>
  </si>
  <si>
    <t>6t</t>
    <phoneticPr fontId="2" type="noConversion"/>
  </si>
  <si>
    <t>5t</t>
    <phoneticPr fontId="2" type="noConversion"/>
  </si>
  <si>
    <t>2호표</t>
    <phoneticPr fontId="2" type="noConversion"/>
  </si>
  <si>
    <t>3호표</t>
    <phoneticPr fontId="2" type="noConversion"/>
  </si>
  <si>
    <t>4호표</t>
    <phoneticPr fontId="2" type="noConversion"/>
  </si>
  <si>
    <t>pvc 설치</t>
    <phoneticPr fontId="2" type="noConversion"/>
  </si>
  <si>
    <t>FRP 적층</t>
    <phoneticPr fontId="2" type="noConversion"/>
  </si>
  <si>
    <t>3mm</t>
    <phoneticPr fontId="2" type="noConversion"/>
  </si>
  <si>
    <t>FRP 총 면적</t>
    <phoneticPr fontId="1" type="noConversion"/>
  </si>
  <si>
    <t>PVC 총 면적</t>
    <phoneticPr fontId="1" type="noConversion"/>
  </si>
  <si>
    <t xml:space="preserve"> 1-2  기계공사</t>
    <phoneticPr fontId="2" type="noConversion"/>
  </si>
  <si>
    <t>200A</t>
    <phoneticPr fontId="2" type="noConversion"/>
  </si>
  <si>
    <t>65A</t>
    <phoneticPr fontId="2" type="noConversion"/>
  </si>
  <si>
    <t>30A</t>
    <phoneticPr fontId="2" type="noConversion"/>
  </si>
  <si>
    <t>m</t>
    <phoneticPr fontId="2" type="noConversion"/>
  </si>
  <si>
    <t>6호표</t>
    <phoneticPr fontId="2" type="noConversion"/>
  </si>
  <si>
    <t>kg</t>
    <phoneticPr fontId="2" type="noConversion"/>
  </si>
  <si>
    <t>매</t>
    <phoneticPr fontId="2" type="noConversion"/>
  </si>
  <si>
    <t>여유율(5%)</t>
    <phoneticPr fontId="1" type="noConversion"/>
  </si>
  <si>
    <t>ton</t>
    <phoneticPr fontId="2" type="noConversion"/>
  </si>
  <si>
    <t>1호표</t>
    <phoneticPr fontId="2" type="noConversion"/>
  </si>
  <si>
    <t>PALL RING</t>
    <phoneticPr fontId="1" type="noConversion"/>
  </si>
  <si>
    <t>대</t>
    <phoneticPr fontId="1" type="noConversion"/>
  </si>
  <si>
    <t>EA</t>
    <phoneticPr fontId="1" type="noConversion"/>
  </si>
  <si>
    <t>NOZZLE</t>
    <phoneticPr fontId="1" type="noConversion"/>
  </si>
  <si>
    <t>2"</t>
    <phoneticPr fontId="1" type="noConversion"/>
  </si>
  <si>
    <t>1/2"</t>
    <phoneticPr fontId="1" type="noConversion"/>
  </si>
  <si>
    <t>DEMISTER</t>
    <phoneticPr fontId="1" type="noConversion"/>
  </si>
  <si>
    <t>SIGHT GLASS</t>
    <phoneticPr fontId="1" type="noConversion"/>
  </si>
  <si>
    <t>600A</t>
    <phoneticPr fontId="1" type="noConversion"/>
  </si>
  <si>
    <t>AGITATOR</t>
    <phoneticPr fontId="1" type="noConversion"/>
  </si>
  <si>
    <t>CHEMICAL TANK</t>
    <phoneticPr fontId="1" type="noConversion"/>
  </si>
  <si>
    <t>FEEDER PUMP</t>
    <phoneticPr fontId="1" type="noConversion"/>
  </si>
  <si>
    <t>2000CC</t>
    <phoneticPr fontId="1" type="noConversion"/>
  </si>
  <si>
    <t>1/2HP</t>
    <phoneticPr fontId="1" type="noConversion"/>
  </si>
  <si>
    <t>견적서</t>
    <phoneticPr fontId="2" type="noConversion"/>
  </si>
  <si>
    <t>모터</t>
    <phoneticPr fontId="1" type="noConversion"/>
  </si>
  <si>
    <t>대</t>
    <phoneticPr fontId="2" type="noConversion"/>
  </si>
  <si>
    <t>8호표</t>
    <phoneticPr fontId="2" type="noConversion"/>
  </si>
  <si>
    <t>7호표</t>
    <phoneticPr fontId="2" type="noConversion"/>
  </si>
  <si>
    <t>4.5t</t>
    <phoneticPr fontId="2" type="noConversion"/>
  </si>
  <si>
    <t>견적서</t>
    <phoneticPr fontId="2" type="noConversion"/>
  </si>
  <si>
    <t>대</t>
    <phoneticPr fontId="2" type="noConversion"/>
  </si>
  <si>
    <t>9호표</t>
    <phoneticPr fontId="2" type="noConversion"/>
  </si>
  <si>
    <t>m2/ton</t>
    <phoneticPr fontId="1" type="noConversion"/>
  </si>
  <si>
    <t>강재류(녹막이)</t>
    <phoneticPr fontId="1" type="noConversion"/>
  </si>
  <si>
    <t>강재류(유성페인트)</t>
    <phoneticPr fontId="1" type="noConversion"/>
  </si>
  <si>
    <t>11호표</t>
    <phoneticPr fontId="2" type="noConversion"/>
  </si>
  <si>
    <t>1-3 도장공사</t>
    <phoneticPr fontId="1" type="noConversion"/>
  </si>
  <si>
    <t>1-4 IOT 공사</t>
    <phoneticPr fontId="1" type="noConversion"/>
  </si>
  <si>
    <t>2. 전기공사</t>
    <phoneticPr fontId="2" type="noConversion"/>
  </si>
  <si>
    <t>소 계</t>
    <phoneticPr fontId="2" type="noConversion"/>
  </si>
  <si>
    <t>PH 계</t>
    <phoneticPr fontId="1" type="noConversion"/>
  </si>
  <si>
    <t>온도계</t>
    <phoneticPr fontId="1" type="noConversion"/>
  </si>
  <si>
    <t>IOT 게이트웨이</t>
    <phoneticPr fontId="1" type="noConversion"/>
  </si>
  <si>
    <t>VPN</t>
    <phoneticPr fontId="1" type="noConversion"/>
  </si>
  <si>
    <t>EA</t>
    <phoneticPr fontId="1" type="noConversion"/>
  </si>
  <si>
    <t>0-14</t>
    <phoneticPr fontId="2" type="noConversion"/>
  </si>
  <si>
    <t>-40 - 100</t>
    <phoneticPr fontId="2" type="noConversion"/>
  </si>
  <si>
    <t>전류 전력 계측기( 배출시설)</t>
    <phoneticPr fontId="1" type="noConversion"/>
  </si>
  <si>
    <t>전류 전력 계측기(방지시설)</t>
    <phoneticPr fontId="1" type="noConversion"/>
  </si>
  <si>
    <t>10t</t>
    <phoneticPr fontId="1" type="noConversion"/>
  </si>
  <si>
    <t>65A</t>
    <phoneticPr fontId="1" type="noConversion"/>
  </si>
  <si>
    <t>50A</t>
    <phoneticPr fontId="1" type="noConversion"/>
  </si>
  <si>
    <t>4.5t</t>
    <phoneticPr fontId="1" type="noConversion"/>
  </si>
  <si>
    <t>m</t>
    <phoneticPr fontId="2" type="noConversion"/>
  </si>
  <si>
    <t>-</t>
    <phoneticPr fontId="1" type="noConversion"/>
  </si>
  <si>
    <t>2. 전기공사</t>
    <phoneticPr fontId="1" type="noConversion"/>
  </si>
  <si>
    <t>1-1. SCRUBBER BODY</t>
    <phoneticPr fontId="1" type="noConversion"/>
  </si>
  <si>
    <t>1-2. 기계공사</t>
    <phoneticPr fontId="1" type="noConversion"/>
  </si>
  <si>
    <t>1-3. 도장공사</t>
    <phoneticPr fontId="1" type="noConversion"/>
  </si>
  <si>
    <t>1-4. IOT 공사</t>
    <phoneticPr fontId="1" type="noConversion"/>
  </si>
  <si>
    <t>전선관 배관</t>
    <phoneticPr fontId="1" type="noConversion"/>
  </si>
  <si>
    <t>품셈 전기5-1</t>
    <phoneticPr fontId="2" type="noConversion"/>
  </si>
  <si>
    <t>크레인(150ton)</t>
    <phoneticPr fontId="1" type="noConversion"/>
  </si>
  <si>
    <t>150TON</t>
    <phoneticPr fontId="2" type="noConversion"/>
  </si>
  <si>
    <t>크레인</t>
    <phoneticPr fontId="2" type="noConversion"/>
  </si>
  <si>
    <t>시간</t>
    <phoneticPr fontId="2" type="noConversion"/>
  </si>
  <si>
    <t>19호표</t>
    <phoneticPr fontId="1" type="noConversion"/>
  </si>
  <si>
    <t>19호표</t>
    <phoneticPr fontId="2" type="noConversion"/>
  </si>
  <si>
    <t>인</t>
    <phoneticPr fontId="1" type="noConversion"/>
  </si>
  <si>
    <t>MC-9</t>
    <phoneticPr fontId="2" type="noConversion"/>
  </si>
  <si>
    <t>ea</t>
    <phoneticPr fontId="1" type="noConversion"/>
  </si>
  <si>
    <t>CV10SQ*4C</t>
    <phoneticPr fontId="2" type="noConversion"/>
  </si>
  <si>
    <t>CV2.5SQ*4C</t>
    <phoneticPr fontId="2" type="noConversion"/>
  </si>
  <si>
    <t>m</t>
    <phoneticPr fontId="2" type="noConversion"/>
  </si>
  <si>
    <t>면</t>
    <phoneticPr fontId="1" type="noConversion"/>
  </si>
  <si>
    <t>m</t>
    <phoneticPr fontId="1" type="noConversion"/>
  </si>
  <si>
    <t>로컬 판넬</t>
    <phoneticPr fontId="1" type="noConversion"/>
  </si>
  <si>
    <t>300x400x200</t>
    <phoneticPr fontId="1" type="noConversion"/>
  </si>
  <si>
    <t>2-337</t>
    <phoneticPr fontId="1" type="noConversion"/>
  </si>
  <si>
    <t>2-338</t>
    <phoneticPr fontId="1" type="noConversion"/>
  </si>
  <si>
    <t>2-345</t>
    <phoneticPr fontId="1" type="noConversion"/>
  </si>
  <si>
    <t>동 부스바</t>
    <phoneticPr fontId="1" type="noConversion"/>
  </si>
  <si>
    <t>KSD</t>
    <phoneticPr fontId="1" type="noConversion"/>
  </si>
  <si>
    <t>2-280</t>
    <phoneticPr fontId="1" type="noConversion"/>
  </si>
  <si>
    <t>2-265</t>
    <phoneticPr fontId="1" type="noConversion"/>
  </si>
  <si>
    <t>2-266</t>
    <phoneticPr fontId="1" type="noConversion"/>
  </si>
  <si>
    <t>플랙시블 전선관</t>
    <phoneticPr fontId="1" type="noConversion"/>
  </si>
  <si>
    <t>2-305</t>
    <phoneticPr fontId="1" type="noConversion"/>
  </si>
  <si>
    <t>차단기 및 개폐기 설치</t>
    <phoneticPr fontId="1" type="noConversion"/>
  </si>
  <si>
    <t>마크네트 100AF</t>
    <phoneticPr fontId="2" type="noConversion"/>
  </si>
  <si>
    <t>17호표</t>
    <phoneticPr fontId="1" type="noConversion"/>
  </si>
  <si>
    <t>EA</t>
    <phoneticPr fontId="2" type="noConversion"/>
  </si>
  <si>
    <t>마크네트 30AF</t>
    <phoneticPr fontId="2" type="noConversion"/>
  </si>
  <si>
    <t xml:space="preserve"> 2-1 전기공사</t>
    <phoneticPr fontId="2" type="noConversion"/>
  </si>
  <si>
    <t>6mm 이하</t>
    <phoneticPr fontId="2" type="noConversion"/>
  </si>
  <si>
    <t>200A x 5300Lx 3ea</t>
    <phoneticPr fontId="1" type="noConversion"/>
  </si>
  <si>
    <t>0.676ton x 55m2/ton</t>
    <phoneticPr fontId="1" type="noConversion"/>
  </si>
  <si>
    <t>2-347</t>
    <phoneticPr fontId="1" type="noConversion"/>
  </si>
  <si>
    <t>적산 480</t>
    <phoneticPr fontId="2" type="noConversion"/>
  </si>
  <si>
    <t>기계설비공</t>
    <phoneticPr fontId="2" type="noConversion"/>
  </si>
  <si>
    <t>18호표</t>
    <phoneticPr fontId="1" type="noConversion"/>
  </si>
  <si>
    <t>19호표</t>
    <phoneticPr fontId="1" type="noConversion"/>
  </si>
  <si>
    <t xml:space="preserve"> 1-1 스크러버 BODY 제작 
       설치공사</t>
    <phoneticPr fontId="2" type="noConversion"/>
  </si>
  <si>
    <t>MC-50</t>
    <phoneticPr fontId="2" type="noConversion"/>
  </si>
  <si>
    <t>품셈 전기 5-19</t>
    <phoneticPr fontId="2" type="noConversion"/>
  </si>
  <si>
    <t>배선용 차단기100AF</t>
    <phoneticPr fontId="2" type="noConversion"/>
  </si>
  <si>
    <t>인</t>
    <phoneticPr fontId="1" type="noConversion"/>
  </si>
  <si>
    <t>마크네트 50AF</t>
    <phoneticPr fontId="2" type="noConversion"/>
  </si>
  <si>
    <t>0.6M3</t>
    <phoneticPr fontId="1" type="noConversion"/>
  </si>
  <si>
    <t>펌프설치(7.5KW 이하)</t>
    <phoneticPr fontId="1" type="noConversion"/>
  </si>
  <si>
    <t>100x600A x 4</t>
    <phoneticPr fontId="1" type="noConversion"/>
  </si>
  <si>
    <t>2-15</t>
    <phoneticPr fontId="1" type="noConversion"/>
  </si>
  <si>
    <t>1-1 스크러버 BODY 제작 설치공사</t>
    <phoneticPr fontId="2" type="noConversion"/>
  </si>
  <si>
    <t>물 량 산 출 표</t>
    <phoneticPr fontId="1" type="noConversion"/>
  </si>
  <si>
    <t>(3100A )</t>
    <phoneticPr fontId="2" type="noConversion"/>
  </si>
  <si>
    <t>(3000A x 5500L)</t>
    <phoneticPr fontId="2" type="noConversion"/>
  </si>
  <si>
    <t>(1100 x 1000)x 2 +(1800x1000)</t>
    <phoneticPr fontId="2" type="noConversion"/>
  </si>
  <si>
    <t>(1100x1800)</t>
    <phoneticPr fontId="2" type="noConversion"/>
  </si>
  <si>
    <t>950A x 2800L</t>
    <phoneticPr fontId="1" type="noConversion"/>
  </si>
  <si>
    <t>1350Ax300L</t>
    <phoneticPr fontId="1" type="noConversion"/>
  </si>
  <si>
    <t>1350A(950A)</t>
    <phoneticPr fontId="1" type="noConversion"/>
  </si>
  <si>
    <t>30A x (1150x2+1400) x 2ea x2단</t>
    <phoneticPr fontId="1" type="noConversion"/>
  </si>
  <si>
    <t xml:space="preserve"> (5500x4) + 5300 + (2300x4) + (1000x4)</t>
    <phoneticPr fontId="1" type="noConversion"/>
  </si>
  <si>
    <t>(450x 16ea + 800X4EA)</t>
    <phoneticPr fontId="1" type="noConversion"/>
  </si>
  <si>
    <t xml:space="preserve">420CMM, 220mmAq, </t>
    <phoneticPr fontId="2" type="noConversion"/>
  </si>
  <si>
    <t>30KW</t>
    <phoneticPr fontId="1" type="noConversion"/>
  </si>
  <si>
    <t xml:space="preserve">0.85cmm 15mH 7.5kw </t>
    <phoneticPr fontId="1" type="noConversion"/>
  </si>
  <si>
    <t>3000A X300H</t>
    <phoneticPr fontId="1" type="noConversion"/>
  </si>
  <si>
    <t>MC-65</t>
    <phoneticPr fontId="2" type="noConversion"/>
  </si>
  <si>
    <t>MC-40</t>
    <phoneticPr fontId="2" type="noConversion"/>
  </si>
  <si>
    <t>KIV-35SQ</t>
    <phoneticPr fontId="2" type="noConversion"/>
  </si>
  <si>
    <t>CV16SQ*1C</t>
    <phoneticPr fontId="2" type="noConversion"/>
  </si>
  <si>
    <t>16mm</t>
    <phoneticPr fontId="1" type="noConversion"/>
  </si>
  <si>
    <t>옥외2중 방수 700x1000x350</t>
    <phoneticPr fontId="2" type="noConversion"/>
  </si>
  <si>
    <t>송풍기 설치 (대 당, 편흡입 #6 )</t>
    <phoneticPr fontId="1" type="noConversion"/>
  </si>
  <si>
    <t xml:space="preserve"> 전동기 설치(30KW이하)</t>
    <phoneticPr fontId="1" type="noConversion"/>
  </si>
  <si>
    <t>16mm 이하</t>
    <phoneticPr fontId="2" type="noConversion"/>
  </si>
  <si>
    <t>배선용 차단기50 AF</t>
    <phoneticPr fontId="2" type="noConversion"/>
  </si>
  <si>
    <t>인</t>
    <phoneticPr fontId="1" type="noConversion"/>
  </si>
  <si>
    <t>51.81+4+1.98</t>
    <phoneticPr fontId="1" type="noConversion"/>
  </si>
  <si>
    <t>화공</t>
  </si>
  <si>
    <t>전기도면 3-2</t>
    <phoneticPr fontId="1" type="noConversion"/>
  </si>
  <si>
    <t>전기도면 3-1</t>
    <phoneticPr fontId="1" type="noConversion"/>
  </si>
  <si>
    <t>PH계</t>
    <phoneticPr fontId="2" type="noConversion"/>
  </si>
  <si>
    <t>방지시설 공사비 설계내역서 작성방법</t>
    <phoneticPr fontId="1" type="noConversion"/>
  </si>
  <si>
    <t>현장조사</t>
    <phoneticPr fontId="1" type="noConversion"/>
  </si>
  <si>
    <t>현장기초 조사등 관련자료를 수집 최적의 방지시설 설계(예상되는 오염배출물질량, 처리방법 등등 결정)</t>
    <phoneticPr fontId="1" type="noConversion"/>
  </si>
  <si>
    <t>도면 작성</t>
    <phoneticPr fontId="1" type="noConversion"/>
  </si>
  <si>
    <t>입력 할 내용</t>
    <phoneticPr fontId="1" type="noConversion"/>
  </si>
  <si>
    <t>비 고</t>
    <phoneticPr fontId="1" type="noConversion"/>
  </si>
  <si>
    <t>표지</t>
    <phoneticPr fontId="1" type="noConversion"/>
  </si>
  <si>
    <t>설계자, 공사명, 사업장 명, 사업장 주소, 방지시설 종류 및 용량입력</t>
    <phoneticPr fontId="1" type="noConversion"/>
  </si>
  <si>
    <t>원가계산서</t>
    <phoneticPr fontId="1" type="noConversion"/>
  </si>
  <si>
    <t>최종 합계금액 만단위 이하 절사</t>
    <phoneticPr fontId="1" type="noConversion"/>
  </si>
  <si>
    <t>내역서 시트의 재료비, 노무비, 경비에 링크</t>
    <phoneticPr fontId="1" type="noConversion"/>
  </si>
  <si>
    <t>내역서</t>
    <phoneticPr fontId="1" type="noConversion"/>
  </si>
  <si>
    <t>일위대가표 각 호표의 합계(재료비, 노무비, 경비)에 링크</t>
    <phoneticPr fontId="1" type="noConversion"/>
  </si>
  <si>
    <t>일위대가표</t>
    <phoneticPr fontId="1" type="noConversion"/>
  </si>
  <si>
    <t>부품 및 제품의 물량 산출(AUTO CAD 작성 설계도면에 근거하여 물량산출)</t>
    <phoneticPr fontId="1" type="noConversion"/>
  </si>
  <si>
    <t>단가조사표</t>
    <phoneticPr fontId="1" type="noConversion"/>
  </si>
  <si>
    <t>모든 재료의 단가 조사 입력(물가자료, 물가정보 등 2가지 이상), 견적 처리시 견적서 첨부</t>
    <phoneticPr fontId="1" type="noConversion"/>
  </si>
  <si>
    <t>노임단가</t>
    <phoneticPr fontId="1" type="noConversion"/>
  </si>
  <si>
    <t>(단위: 원)</t>
    <phoneticPr fontId="2" type="noConversion"/>
  </si>
  <si>
    <t>번호</t>
    <phoneticPr fontId="2" type="noConversion"/>
  </si>
  <si>
    <t>번호</t>
    <phoneticPr fontId="2" type="noConversion"/>
  </si>
  <si>
    <t>직종명</t>
    <phoneticPr fontId="2" type="noConversion"/>
  </si>
  <si>
    <t>단가</t>
    <phoneticPr fontId="2" type="noConversion"/>
  </si>
  <si>
    <t>(※238,720)</t>
  </si>
  <si>
    <t>전기도면 4-1</t>
    <phoneticPr fontId="1" type="noConversion"/>
  </si>
  <si>
    <t>전기도면 4-2</t>
    <phoneticPr fontId="1" type="noConversion"/>
  </si>
  <si>
    <t>전기도면 4-3</t>
    <phoneticPr fontId="1" type="noConversion"/>
  </si>
  <si>
    <t>전기도면 4-4</t>
    <phoneticPr fontId="1" type="noConversion"/>
  </si>
  <si>
    <t>전기도면 4-5</t>
    <phoneticPr fontId="1" type="noConversion"/>
  </si>
  <si>
    <t>도면2-1</t>
    <phoneticPr fontId="2" type="noConversion"/>
  </si>
  <si>
    <t>도면2-2</t>
    <phoneticPr fontId="2" type="noConversion"/>
  </si>
  <si>
    <t>도면2-3</t>
    <phoneticPr fontId="2" type="noConversion"/>
  </si>
  <si>
    <t>도면2-4</t>
    <phoneticPr fontId="2" type="noConversion"/>
  </si>
  <si>
    <t>도면2-5</t>
    <phoneticPr fontId="2" type="noConversion"/>
  </si>
  <si>
    <t>도면2-6</t>
    <phoneticPr fontId="2" type="noConversion"/>
  </si>
  <si>
    <t>도면2-7</t>
    <phoneticPr fontId="2" type="noConversion"/>
  </si>
  <si>
    <t>도면2-8</t>
    <phoneticPr fontId="2" type="noConversion"/>
  </si>
  <si>
    <t>도면2-9</t>
    <phoneticPr fontId="2" type="noConversion"/>
  </si>
  <si>
    <t>도면2-10</t>
    <phoneticPr fontId="2" type="noConversion"/>
  </si>
  <si>
    <t>도면4-1</t>
    <phoneticPr fontId="2" type="noConversion"/>
  </si>
  <si>
    <t>도면4-1</t>
    <phoneticPr fontId="1" type="noConversion"/>
  </si>
  <si>
    <t>도면4-2</t>
    <phoneticPr fontId="1" type="noConversion"/>
  </si>
  <si>
    <t>도면7-1</t>
    <phoneticPr fontId="1" type="noConversion"/>
  </si>
  <si>
    <t>도면7-2</t>
    <phoneticPr fontId="1" type="noConversion"/>
  </si>
  <si>
    <t>도면7-3</t>
    <phoneticPr fontId="1" type="noConversion"/>
  </si>
  <si>
    <t>도면7-7</t>
    <phoneticPr fontId="1" type="noConversion"/>
  </si>
  <si>
    <t>도면 8-1</t>
    <phoneticPr fontId="1" type="noConversion"/>
  </si>
  <si>
    <t>도면 6-1</t>
    <phoneticPr fontId="1" type="noConversion"/>
  </si>
  <si>
    <t>도면 8-2</t>
    <phoneticPr fontId="1" type="noConversion"/>
  </si>
  <si>
    <t>도면 7-8</t>
    <phoneticPr fontId="1" type="noConversion"/>
  </si>
  <si>
    <t>도면 6-2</t>
    <phoneticPr fontId="1" type="noConversion"/>
  </si>
  <si>
    <t>도면 6-3</t>
    <phoneticPr fontId="1" type="noConversion"/>
  </si>
  <si>
    <t>도면1-1</t>
    <phoneticPr fontId="2" type="noConversion"/>
  </si>
  <si>
    <t>도면1-2</t>
    <phoneticPr fontId="2" type="noConversion"/>
  </si>
  <si>
    <t>도면1-3</t>
    <phoneticPr fontId="1" type="noConversion"/>
  </si>
  <si>
    <t>도면1-4</t>
    <phoneticPr fontId="2" type="noConversion"/>
  </si>
  <si>
    <t>도면1-5</t>
    <phoneticPr fontId="2" type="noConversion"/>
  </si>
  <si>
    <t>도면 1-6</t>
    <phoneticPr fontId="1" type="noConversion"/>
  </si>
  <si>
    <t>도면 1-7</t>
    <phoneticPr fontId="1" type="noConversion"/>
  </si>
  <si>
    <t>도면 1-8</t>
    <phoneticPr fontId="1" type="noConversion"/>
  </si>
  <si>
    <t>도면 1-9</t>
    <phoneticPr fontId="1" type="noConversion"/>
  </si>
  <si>
    <t>도면 1-10</t>
    <phoneticPr fontId="1" type="noConversion"/>
  </si>
  <si>
    <t>14호표</t>
    <phoneticPr fontId="2" type="noConversion"/>
  </si>
  <si>
    <t>16호표</t>
    <phoneticPr fontId="2" type="noConversion"/>
  </si>
  <si>
    <t>16호표</t>
    <phoneticPr fontId="2" type="noConversion"/>
  </si>
  <si>
    <t>16호표</t>
    <phoneticPr fontId="2" type="noConversion"/>
  </si>
  <si>
    <t>17호표</t>
    <phoneticPr fontId="2" type="noConversion"/>
  </si>
  <si>
    <t>17호표</t>
    <phoneticPr fontId="2" type="noConversion"/>
  </si>
  <si>
    <t>17호표</t>
    <phoneticPr fontId="2" type="noConversion"/>
  </si>
  <si>
    <t>12호표</t>
    <phoneticPr fontId="2" type="noConversion"/>
  </si>
  <si>
    <t>13호표</t>
    <phoneticPr fontId="2" type="noConversion"/>
  </si>
  <si>
    <t>13호표</t>
    <phoneticPr fontId="2" type="noConversion"/>
  </si>
  <si>
    <t>품셈 적용 시 INT 함수사용하여 소수점 이하 절사</t>
    <phoneticPr fontId="1" type="noConversion"/>
  </si>
  <si>
    <t>적산정보 및 품셈 근거 입력 후 출력 하여 밑줄 표시 첨부</t>
    <phoneticPr fontId="1" type="noConversion"/>
  </si>
  <si>
    <t>재료비, 노무비, 경비, 합계 금액은 일위대가표에 링크</t>
    <phoneticPr fontId="1" type="noConversion"/>
  </si>
  <si>
    <t>적산정보를 적용하는 재료비, 노무비, 경비 단가는 일위대가 목록에 링크</t>
    <phoneticPr fontId="1" type="noConversion"/>
  </si>
  <si>
    <t>견적서</t>
    <phoneticPr fontId="2" type="noConversion"/>
  </si>
  <si>
    <t>수량은 물량산출표에 링크</t>
    <phoneticPr fontId="1" type="noConversion"/>
  </si>
  <si>
    <t>재료비단가는 단가조사표에 링크</t>
    <phoneticPr fontId="1" type="noConversion"/>
  </si>
  <si>
    <t>③④</t>
    <phoneticPr fontId="1" type="noConversion"/>
  </si>
  <si>
    <t>⑤</t>
    <phoneticPr fontId="1" type="noConversion"/>
  </si>
  <si>
    <t>노무비 적용 시 일위대가 호표 반드시 표기</t>
    <phoneticPr fontId="1" type="noConversion"/>
  </si>
  <si>
    <t>⑥</t>
    <phoneticPr fontId="1" type="noConversion"/>
  </si>
  <si>
    <t>견적적용 시 견적서 반드시 표기</t>
    <phoneticPr fontId="2" type="noConversion"/>
  </si>
  <si>
    <t>순공사원가 합계의 6%</t>
    <phoneticPr fontId="10" type="noConversion"/>
  </si>
  <si>
    <t>(노무비+경비+일반관리비)*15%</t>
    <phoneticPr fontId="10" type="noConversion"/>
  </si>
  <si>
    <t>비      목</t>
    <phoneticPr fontId="1" type="noConversion"/>
  </si>
  <si>
    <t xml:space="preserve">   설계자 :   OOO환경 주식회사</t>
    <phoneticPr fontId="2" type="noConversion"/>
  </si>
  <si>
    <t>안산시청 산단환경과</t>
    <phoneticPr fontId="1" type="noConversion"/>
  </si>
  <si>
    <t>흡수에의한 시설 (000CMM)</t>
    <phoneticPr fontId="2" type="noConversion"/>
  </si>
  <si>
    <t>2020년 상반기 노임단가 적용</t>
    <phoneticPr fontId="1" type="noConversion"/>
  </si>
  <si>
    <r>
      <t xml:space="preserve">공사명  : </t>
    </r>
    <r>
      <rPr>
        <b/>
        <sz val="20"/>
        <color rgb="FF0070C0"/>
        <rFont val="맑은 고딕"/>
        <family val="3"/>
        <charset val="129"/>
        <scheme val="minor"/>
      </rPr>
      <t xml:space="preserve"> </t>
    </r>
    <r>
      <rPr>
        <b/>
        <sz val="20"/>
        <color rgb="FFFF0000"/>
        <rFont val="맑은 고딕"/>
        <family val="3"/>
        <charset val="129"/>
        <scheme val="minor"/>
      </rPr>
      <t>OOO주식회사 흡수에의한시설 OOOCMM 설치공사</t>
    </r>
    <phoneticPr fontId="2" type="noConversion"/>
  </si>
  <si>
    <t>단원구 중앙대로 685(초지동)</t>
    <phoneticPr fontId="1" type="noConversion"/>
  </si>
  <si>
    <t>적산정보 사용시 : 반드시 기준 단위 그대로 입력 후 합계에서 소수점 이하 절사(계산식 적용 금지)</t>
    <phoneticPr fontId="1" type="noConversion"/>
  </si>
  <si>
    <t>품셈 적용 시 :재료비(단가는 단가조사표 링크), 노무비(단가는 노임단가 링크), 경비(단가는 일위대가 경비에 링크),  금액(INT 함수 사용하여 소수점 이하 제거)
적산정보 적용 시 : 단가 및 금액을 적산정보 상 자료대로 입력 후 합계 금액에서 int 함수 사용 소수점 이하 절사</t>
    <phoneticPr fontId="1" type="noConversion"/>
  </si>
  <si>
    <t>산출 근거 도면 번호 및 품명번호 표기</t>
    <phoneticPr fontId="1" type="noConversion"/>
  </si>
  <si>
    <t>AUTO CAD 실척으로 도면 작성(물량산출의 근거로 도면에 치수 표기안된 자재물량은 공사비에서 인정안됨)</t>
    <phoneticPr fontId="1" type="noConversion"/>
  </si>
  <si>
    <t>순공사원가 중 직접재료비, 직접노무비, 경비만 적용</t>
    <phoneticPr fontId="1" type="noConversion"/>
  </si>
  <si>
    <t>내역서 상 재료비, 노무비, 경비의 모든 단가는 해당 시트에 링크후 int 함수 사용하여 금액 계산
IoT 설비는 각 장치별 금액 1대로 적용
크레인 사용료는 적산정보 적용하여 내역서에 재료비, 노무비 구분하여 적용
전기공사는 적산정보 또는 전기품셈 적용(물량산출 및 도면 포함)</t>
    <phoneticPr fontId="1" type="noConversion"/>
  </si>
  <si>
    <t>도면 4-9</t>
    <phoneticPr fontId="1" type="noConversion"/>
  </si>
  <si>
    <r>
      <t>순공사비는 집계표에서 링크하여야하며</t>
    </r>
    <r>
      <rPr>
        <sz val="10"/>
        <color rgb="FFFF0000"/>
        <rFont val="돋움"/>
        <family val="3"/>
        <charset val="129"/>
      </rPr>
      <t xml:space="preserve"> 경비는 기계경비만 입력(각종 보험료 및 산업안전보건관리비 제외)</t>
    </r>
    <phoneticPr fontId="1" type="noConversion"/>
  </si>
  <si>
    <t>예 : 설계내역서-안산시청주식회사</t>
    <phoneticPr fontId="1" type="noConversion"/>
  </si>
  <si>
    <t>고용보험료</t>
  </si>
  <si>
    <t xml:space="preserve">  노무비의 0.87%</t>
    <phoneticPr fontId="10" type="noConversion"/>
  </si>
  <si>
    <t>모든공사</t>
    <phoneticPr fontId="1" type="noConversion"/>
  </si>
  <si>
    <t>산재보험료</t>
  </si>
  <si>
    <t>건강보험료</t>
  </si>
  <si>
    <t>연금보험료</t>
  </si>
  <si>
    <t xml:space="preserve">  직접노무비의 4.5%</t>
    <phoneticPr fontId="10" type="noConversion"/>
  </si>
  <si>
    <t>퇴직공제부금비</t>
  </si>
  <si>
    <t xml:space="preserve">  직접노무비의 2.3%</t>
    <phoneticPr fontId="10" type="noConversion"/>
  </si>
  <si>
    <t>노인장기요양보험료</t>
  </si>
  <si>
    <t>산업안전보건관리비</t>
  </si>
  <si>
    <t xml:space="preserve">  (재료비+직노)*2.93%</t>
    <phoneticPr fontId="10" type="noConversion"/>
  </si>
  <si>
    <t>1개월 이상 모든 공사</t>
    <phoneticPr fontId="1" type="noConversion"/>
  </si>
  <si>
    <t>만단위 이하 절사</t>
    <phoneticPr fontId="1" type="noConversion"/>
  </si>
  <si>
    <t>MCCB</t>
    <phoneticPr fontId="2" type="noConversion"/>
  </si>
  <si>
    <t>MC</t>
    <phoneticPr fontId="2" type="noConversion"/>
  </si>
  <si>
    <t>MCCB</t>
    <phoneticPr fontId="2" type="noConversion"/>
  </si>
  <si>
    <t>MC</t>
    <phoneticPr fontId="2" type="noConversion"/>
  </si>
  <si>
    <t>간접노부미</t>
    <phoneticPr fontId="1" type="noConversion"/>
  </si>
  <si>
    <t xml:space="preserve">- </t>
  </si>
  <si>
    <t>H/W시험사</t>
  </si>
  <si>
    <t>S/W시험사</t>
  </si>
  <si>
    <t>배관공(수도)</t>
  </si>
  <si>
    <t xml:space="preserve">  노무비의 8.0%</t>
    <phoneticPr fontId="10" type="noConversion"/>
  </si>
  <si>
    <t xml:space="preserve">  노무비의 3.7%</t>
    <phoneticPr fontId="10" type="noConversion"/>
  </si>
  <si>
    <t xml:space="preserve">  직접노무비의 3.43%</t>
    <phoneticPr fontId="10" type="noConversion"/>
  </si>
  <si>
    <t>1억 이상만 해당</t>
    <phoneticPr fontId="1" type="noConversion"/>
  </si>
  <si>
    <t xml:space="preserve">  건강보험료*11.52%</t>
    <phoneticPr fontId="10" type="noConversion"/>
  </si>
  <si>
    <t>보조금</t>
    <phoneticPr fontId="10" type="noConversion"/>
  </si>
  <si>
    <t>전동기 제어반</t>
    <phoneticPr fontId="2" type="noConversion"/>
  </si>
  <si>
    <t>2021년 상반기 직종노임단가</t>
    <phoneticPr fontId="2" type="noConversion"/>
  </si>
  <si>
    <t>전동기제어반설치</t>
    <phoneticPr fontId="1" type="noConversion"/>
  </si>
  <si>
    <t>전동기(11KW)-직입기동</t>
    <phoneticPr fontId="2" type="noConversion"/>
  </si>
  <si>
    <t>품셈 전기 5-39</t>
    <phoneticPr fontId="2" type="noConversion"/>
  </si>
  <si>
    <t>ABS 104C 150A</t>
    <phoneticPr fontId="2" type="noConversion"/>
  </si>
  <si>
    <t>ABS 63 100A</t>
    <phoneticPr fontId="2" type="noConversion"/>
  </si>
  <si>
    <t>BKM 2P6A 30A</t>
    <phoneticPr fontId="2" type="noConversion"/>
  </si>
  <si>
    <t>보조금 신청액</t>
    <phoneticPr fontId="1" type="noConversion"/>
  </si>
  <si>
    <t>총 공사금액</t>
    <phoneticPr fontId="2" type="noConversion"/>
  </si>
  <si>
    <t>(원)</t>
    <phoneticPr fontId="1" type="noConversion"/>
  </si>
  <si>
    <t>자부담액</t>
    <phoneticPr fontId="1" type="noConversion"/>
  </si>
  <si>
    <t>* 보조금 신청액은 방지설비 설계풍량을 기준으로 환경부 종류별 용량별 보조금 지급 한도액 초과할 수 없음</t>
    <phoneticPr fontId="1" type="noConversion"/>
  </si>
  <si>
    <t>1개월 이상 모든 공사에 적용</t>
    <phoneticPr fontId="1" type="noConversion"/>
  </si>
  <si>
    <t>2천만원 이상 공사</t>
    <phoneticPr fontId="1" type="noConversion"/>
  </si>
  <si>
    <t>설계풍량 기준 보조금 적용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</si>
</sst>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0.0"/>
    <numFmt numFmtId="177" formatCode="0.00_ "/>
    <numFmt numFmtId="178" formatCode="mm&quot;월&quot;\ dd&quot;일&quot;"/>
  </numFmts>
  <fonts count="3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20"/>
      <color rgb="FF0070C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6"/>
      <color theme="1"/>
      <name val="돋움"/>
      <family val="3"/>
      <charset val="129"/>
    </font>
    <font>
      <b/>
      <sz val="18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z val="9"/>
      <color indexed="8"/>
      <name val="맑은 고딕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2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u/>
      <sz val="9"/>
      <color indexed="1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 applyFill="0" applyProtection="0"/>
    <xf numFmtId="0" fontId="10" fillId="0" borderId="0"/>
    <xf numFmtId="41" fontId="19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41" fontId="17" fillId="0" borderId="1" xfId="1" applyFont="1" applyBorder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17" fillId="0" borderId="1" xfId="0" applyNumberFormat="1" applyFont="1" applyBorder="1">
      <alignment vertical="center"/>
    </xf>
    <xf numFmtId="0" fontId="13" fillId="0" borderId="7" xfId="0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2" borderId="0" xfId="0" applyFont="1" applyFill="1">
      <alignment vertical="center"/>
    </xf>
    <xf numFmtId="0" fontId="17" fillId="0" borderId="0" xfId="0" applyFont="1" applyFill="1" applyBorder="1">
      <alignment vertical="center"/>
    </xf>
    <xf numFmtId="0" fontId="17" fillId="0" borderId="8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17" fillId="0" borderId="9" xfId="0" applyFont="1" applyFill="1" applyBorder="1">
      <alignment vertical="center"/>
    </xf>
    <xf numFmtId="0" fontId="17" fillId="0" borderId="10" xfId="0" applyFont="1" applyFill="1" applyBorder="1">
      <alignment vertical="center"/>
    </xf>
    <xf numFmtId="0" fontId="17" fillId="0" borderId="11" xfId="0" applyFont="1" applyFill="1" applyBorder="1">
      <alignment vertical="center"/>
    </xf>
    <xf numFmtId="41" fontId="17" fillId="0" borderId="1" xfId="1" applyFont="1" applyFill="1" applyBorder="1">
      <alignment vertical="center"/>
    </xf>
    <xf numFmtId="41" fontId="18" fillId="0" borderId="1" xfId="1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2" borderId="0" xfId="0" applyFont="1" applyFill="1">
      <alignment vertical="center"/>
    </xf>
    <xf numFmtId="41" fontId="18" fillId="0" borderId="1" xfId="0" applyNumberFormat="1" applyFont="1" applyFill="1" applyBorder="1">
      <alignment vertical="center"/>
    </xf>
    <xf numFmtId="0" fontId="17" fillId="0" borderId="0" xfId="0" applyFont="1" applyFill="1">
      <alignment vertical="center"/>
    </xf>
    <xf numFmtId="0" fontId="0" fillId="0" borderId="0" xfId="0" applyFill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4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6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0" borderId="7" xfId="0" applyFon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41" fontId="0" fillId="0" borderId="0" xfId="0" applyNumberFormat="1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41" fontId="0" fillId="0" borderId="10" xfId="0" applyNumberFormat="1" applyFill="1" applyBorder="1" applyProtection="1">
      <alignment vertical="center"/>
      <protection locked="0"/>
    </xf>
    <xf numFmtId="0" fontId="0" fillId="0" borderId="11" xfId="0" applyFill="1" applyBorder="1" applyProtection="1">
      <alignment vertical="center"/>
      <protection locked="0"/>
    </xf>
    <xf numFmtId="41" fontId="8" fillId="0" borderId="0" xfId="0" applyNumberFormat="1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Fill="1" applyBorder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 indent="2"/>
    </xf>
    <xf numFmtId="0" fontId="17" fillId="0" borderId="12" xfId="0" applyFont="1" applyFill="1" applyBorder="1" applyAlignment="1">
      <alignment horizontal="distributed" vertical="center" indent="3"/>
    </xf>
    <xf numFmtId="0" fontId="17" fillId="0" borderId="12" xfId="0" applyFont="1" applyFill="1" applyBorder="1" applyAlignment="1">
      <alignment horizontal="distributed" vertical="center" indent="1"/>
    </xf>
    <xf numFmtId="0" fontId="7" fillId="2" borderId="0" xfId="0" applyFont="1" applyFill="1">
      <alignment vertical="center"/>
    </xf>
    <xf numFmtId="41" fontId="17" fillId="0" borderId="12" xfId="1" applyFont="1" applyFill="1" applyBorder="1">
      <alignment vertical="center"/>
    </xf>
    <xf numFmtId="0" fontId="18" fillId="0" borderId="12" xfId="0" applyFont="1" applyFill="1" applyBorder="1" applyAlignment="1">
      <alignment horizontal="center" vertical="center"/>
    </xf>
    <xf numFmtId="41" fontId="18" fillId="0" borderId="12" xfId="1" applyFont="1" applyFill="1" applyBorder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distributed" vertical="center"/>
    </xf>
    <xf numFmtId="0" fontId="18" fillId="0" borderId="0" xfId="0" applyFont="1" applyFill="1" applyBorder="1">
      <alignment vertical="center"/>
    </xf>
    <xf numFmtId="41" fontId="18" fillId="0" borderId="0" xfId="1" applyFont="1" applyFill="1" applyBorder="1">
      <alignment vertical="center"/>
    </xf>
    <xf numFmtId="41" fontId="17" fillId="0" borderId="1" xfId="0" applyNumberFormat="1" applyFont="1" applyFill="1" applyBorder="1">
      <alignment vertical="center"/>
    </xf>
    <xf numFmtId="43" fontId="17" fillId="0" borderId="1" xfId="0" applyNumberFormat="1" applyFont="1" applyFill="1" applyBorder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177" fontId="17" fillId="0" borderId="1" xfId="0" applyNumberFormat="1" applyFont="1" applyBorder="1">
      <alignment vertical="center"/>
    </xf>
    <xf numFmtId="177" fontId="18" fillId="0" borderId="1" xfId="0" applyNumberFormat="1" applyFont="1" applyBorder="1">
      <alignment vertical="center"/>
    </xf>
    <xf numFmtId="2" fontId="17" fillId="0" borderId="1" xfId="0" applyNumberFormat="1" applyFont="1" applyBorder="1">
      <alignment vertical="center"/>
    </xf>
    <xf numFmtId="3" fontId="23" fillId="5" borderId="1" xfId="4" applyNumberFormat="1" applyFont="1" applyFill="1" applyBorder="1" applyAlignment="1">
      <alignment vertical="center"/>
    </xf>
    <xf numFmtId="41" fontId="22" fillId="5" borderId="1" xfId="5" applyFont="1" applyFill="1" applyBorder="1" applyAlignment="1">
      <alignment vertical="center"/>
    </xf>
    <xf numFmtId="41" fontId="22" fillId="5" borderId="1" xfId="5" applyFont="1" applyFill="1" applyBorder="1" applyAlignment="1">
      <alignment horizontal="center" vertical="center"/>
    </xf>
    <xf numFmtId="3" fontId="22" fillId="5" borderId="14" xfId="4" applyNumberFormat="1" applyFont="1" applyFill="1" applyBorder="1" applyAlignment="1">
      <alignment vertical="center"/>
    </xf>
    <xf numFmtId="177" fontId="17" fillId="0" borderId="1" xfId="0" applyNumberFormat="1" applyFont="1" applyFill="1" applyBorder="1">
      <alignment vertical="center"/>
    </xf>
    <xf numFmtId="2" fontId="17" fillId="0" borderId="1" xfId="0" applyNumberFormat="1" applyFont="1" applyFill="1" applyBorder="1">
      <alignment vertical="center"/>
    </xf>
    <xf numFmtId="178" fontId="17" fillId="0" borderId="1" xfId="0" applyNumberFormat="1" applyFont="1" applyBorder="1">
      <alignment vertical="center"/>
    </xf>
    <xf numFmtId="0" fontId="17" fillId="0" borderId="1" xfId="0" applyFont="1" applyFill="1" applyBorder="1">
      <alignment vertical="center"/>
    </xf>
    <xf numFmtId="0" fontId="18" fillId="0" borderId="12" xfId="0" applyFont="1" applyFill="1" applyBorder="1">
      <alignment vertical="center"/>
    </xf>
    <xf numFmtId="0" fontId="17" fillId="0" borderId="12" xfId="0" applyFont="1" applyBorder="1">
      <alignment vertical="center"/>
    </xf>
    <xf numFmtId="0" fontId="17" fillId="0" borderId="12" xfId="0" applyFont="1" applyBorder="1" applyAlignment="1">
      <alignment horizontal="center" vertical="center"/>
    </xf>
    <xf numFmtId="178" fontId="17" fillId="0" borderId="1" xfId="0" applyNumberFormat="1" applyFont="1" applyFill="1" applyBorder="1">
      <alignment vertical="center"/>
    </xf>
    <xf numFmtId="0" fontId="18" fillId="0" borderId="12" xfId="0" applyFont="1" applyFill="1" applyBorder="1" applyAlignment="1">
      <alignment horizontal="left" vertical="center"/>
    </xf>
    <xf numFmtId="49" fontId="17" fillId="0" borderId="1" xfId="0" applyNumberFormat="1" applyFont="1" applyFill="1" applyBorder="1">
      <alignment vertical="center"/>
    </xf>
    <xf numFmtId="2" fontId="17" fillId="0" borderId="12" xfId="0" applyNumberFormat="1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2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41" fontId="17" fillId="0" borderId="1" xfId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1" fontId="17" fillId="0" borderId="12" xfId="1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49" fontId="17" fillId="0" borderId="12" xfId="0" applyNumberFormat="1" applyFont="1" applyBorder="1" applyAlignment="1">
      <alignment horizontal="right" vertical="center"/>
    </xf>
    <xf numFmtId="0" fontId="17" fillId="0" borderId="1" xfId="0" applyFont="1" applyFill="1" applyBorder="1">
      <alignment vertical="center"/>
    </xf>
    <xf numFmtId="0" fontId="13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49" fontId="17" fillId="0" borderId="1" xfId="0" applyNumberFormat="1" applyFont="1" applyBorder="1">
      <alignment vertical="center"/>
    </xf>
    <xf numFmtId="0" fontId="18" fillId="0" borderId="12" xfId="0" applyFont="1" applyBorder="1">
      <alignment vertical="center"/>
    </xf>
    <xf numFmtId="41" fontId="17" fillId="0" borderId="12" xfId="1" applyFont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20" fillId="0" borderId="12" xfId="0" applyFont="1" applyBorder="1">
      <alignment vertical="center"/>
    </xf>
    <xf numFmtId="0" fontId="18" fillId="4" borderId="12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12" xfId="0" applyFont="1" applyFill="1" applyBorder="1" applyAlignment="1">
      <alignment vertical="center"/>
    </xf>
    <xf numFmtId="0" fontId="20" fillId="2" borderId="0" xfId="0" applyFont="1" applyFill="1">
      <alignment vertical="center"/>
    </xf>
    <xf numFmtId="0" fontId="0" fillId="0" borderId="10" xfId="0" applyFill="1" applyBorder="1">
      <alignment vertical="center"/>
    </xf>
    <xf numFmtId="0" fontId="28" fillId="2" borderId="0" xfId="0" applyFont="1" applyFill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20" fillId="0" borderId="12" xfId="0" applyFont="1" applyFill="1" applyBorder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>
      <alignment horizontal="distributed" vertical="center" indent="3"/>
    </xf>
    <xf numFmtId="0" fontId="18" fillId="0" borderId="12" xfId="0" applyFont="1" applyFill="1" applyBorder="1" applyAlignment="1">
      <alignment horizontal="distributed" vertical="center" indent="3"/>
    </xf>
    <xf numFmtId="0" fontId="17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 textRotation="255" wrapText="1"/>
    </xf>
    <xf numFmtId="0" fontId="17" fillId="0" borderId="12" xfId="0" applyFont="1" applyFill="1" applyBorder="1" applyAlignment="1">
      <alignment vertical="center" textRotation="255"/>
    </xf>
    <xf numFmtId="0" fontId="17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3" fillId="0" borderId="10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6" borderId="12" xfId="0" applyFont="1" applyFill="1" applyBorder="1" applyAlignment="1">
      <alignment horizontal="distributed" vertical="center"/>
    </xf>
    <xf numFmtId="41" fontId="17" fillId="6" borderId="12" xfId="1" applyFont="1" applyFill="1" applyBorder="1">
      <alignment vertical="center"/>
    </xf>
    <xf numFmtId="0" fontId="17" fillId="6" borderId="12" xfId="0" applyFont="1" applyFill="1" applyBorder="1">
      <alignment vertical="center"/>
    </xf>
    <xf numFmtId="0" fontId="17" fillId="6" borderId="1" xfId="0" applyFont="1" applyFill="1" applyBorder="1">
      <alignment vertical="center"/>
    </xf>
    <xf numFmtId="41" fontId="9" fillId="0" borderId="0" xfId="0" applyNumberFormat="1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 indent="1"/>
    </xf>
    <xf numFmtId="0" fontId="9" fillId="0" borderId="0" xfId="0" applyFont="1" applyFill="1" applyBorder="1" applyAlignment="1" applyProtection="1">
      <alignment horizontal="distributed" vertical="center" indent="1"/>
    </xf>
  </cellXfs>
  <cellStyles count="6">
    <cellStyle name="쉼표 [0]" xfId="1" builtinId="6"/>
    <cellStyle name="쉼표 [0] 5" xfId="5"/>
    <cellStyle name="표준" xfId="0" builtinId="0"/>
    <cellStyle name="표준 79" xfId="3"/>
    <cellStyle name="표준 8" xfId="2"/>
    <cellStyle name="표준_악취방지시설 설치,개선보조금 지급 신청서(최종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C1" sqref="C1"/>
    </sheetView>
  </sheetViews>
  <sheetFormatPr defaultRowHeight="16.5" x14ac:dyDescent="0.3"/>
  <cols>
    <col min="1" max="1" width="3.625" style="5" customWidth="1"/>
    <col min="2" max="2" width="26.25" style="5" customWidth="1"/>
    <col min="3" max="3" width="75.5" style="5" customWidth="1"/>
    <col min="4" max="4" width="39.125" style="5" customWidth="1"/>
    <col min="5" max="16384" width="9" style="5"/>
  </cols>
  <sheetData>
    <row r="1" spans="2:4" ht="27.75" customHeight="1" x14ac:dyDescent="0.3">
      <c r="C1" s="6" t="s">
        <v>585</v>
      </c>
    </row>
    <row r="2" spans="2:4" x14ac:dyDescent="0.3">
      <c r="B2" s="60"/>
    </row>
    <row r="3" spans="2:4" ht="39" customHeight="1" x14ac:dyDescent="0.3">
      <c r="B3" s="61" t="s">
        <v>586</v>
      </c>
      <c r="C3" s="148" t="s">
        <v>276</v>
      </c>
      <c r="D3" s="99"/>
    </row>
    <row r="4" spans="2:4" ht="39" customHeight="1" x14ac:dyDescent="0.3">
      <c r="B4" s="61" t="s">
        <v>275</v>
      </c>
      <c r="C4" s="148" t="s">
        <v>587</v>
      </c>
      <c r="D4" s="99"/>
    </row>
    <row r="5" spans="2:4" ht="39" customHeight="1" x14ac:dyDescent="0.3">
      <c r="B5" s="61" t="s">
        <v>588</v>
      </c>
      <c r="C5" s="148" t="s">
        <v>681</v>
      </c>
      <c r="D5" s="99"/>
    </row>
    <row r="6" spans="2:4" ht="39" customHeight="1" x14ac:dyDescent="0.3">
      <c r="B6" s="61" t="s">
        <v>313</v>
      </c>
      <c r="C6" s="148" t="s">
        <v>315</v>
      </c>
      <c r="D6" s="63" t="s">
        <v>686</v>
      </c>
    </row>
    <row r="7" spans="2:4" ht="39" customHeight="1" x14ac:dyDescent="0.3">
      <c r="B7" s="149" t="s">
        <v>316</v>
      </c>
      <c r="C7" s="148" t="s">
        <v>317</v>
      </c>
      <c r="D7" s="63"/>
    </row>
    <row r="8" spans="2:4" x14ac:dyDescent="0.3">
      <c r="B8" s="41"/>
      <c r="C8" s="41"/>
      <c r="D8" s="41"/>
    </row>
    <row r="9" spans="2:4" ht="32.25" customHeight="1" x14ac:dyDescent="0.3">
      <c r="B9" s="150" t="s">
        <v>271</v>
      </c>
      <c r="C9" s="150" t="s">
        <v>589</v>
      </c>
      <c r="D9" s="150" t="s">
        <v>590</v>
      </c>
    </row>
    <row r="10" spans="2:4" ht="35.25" customHeight="1" x14ac:dyDescent="0.3">
      <c r="B10" s="99" t="s">
        <v>591</v>
      </c>
      <c r="C10" s="151" t="s">
        <v>592</v>
      </c>
      <c r="D10" s="98" t="s">
        <v>330</v>
      </c>
    </row>
    <row r="11" spans="2:4" ht="35.25" customHeight="1" x14ac:dyDescent="0.3">
      <c r="B11" s="99" t="s">
        <v>593</v>
      </c>
      <c r="C11" s="151" t="s">
        <v>685</v>
      </c>
      <c r="D11" s="98" t="s">
        <v>594</v>
      </c>
    </row>
    <row r="12" spans="2:4" ht="35.25" customHeight="1" x14ac:dyDescent="0.3">
      <c r="B12" s="99" t="s">
        <v>274</v>
      </c>
      <c r="C12" s="151" t="s">
        <v>595</v>
      </c>
      <c r="D12" s="98"/>
    </row>
    <row r="13" spans="2:4" ht="65.25" customHeight="1" x14ac:dyDescent="0.3">
      <c r="B13" s="99" t="s">
        <v>596</v>
      </c>
      <c r="C13" s="151" t="s">
        <v>683</v>
      </c>
      <c r="D13" s="98" t="s">
        <v>314</v>
      </c>
    </row>
    <row r="14" spans="2:4" ht="35.25" customHeight="1" x14ac:dyDescent="0.3">
      <c r="B14" s="99" t="s">
        <v>273</v>
      </c>
      <c r="C14" s="151" t="s">
        <v>597</v>
      </c>
      <c r="D14" s="98"/>
    </row>
    <row r="15" spans="2:4" ht="51.75" customHeight="1" x14ac:dyDescent="0.3">
      <c r="B15" s="99" t="s">
        <v>598</v>
      </c>
      <c r="C15" s="151" t="s">
        <v>679</v>
      </c>
      <c r="D15" s="151" t="s">
        <v>300</v>
      </c>
    </row>
    <row r="16" spans="2:4" ht="35.25" customHeight="1" x14ac:dyDescent="0.3">
      <c r="B16" s="99" t="s">
        <v>272</v>
      </c>
      <c r="C16" s="151" t="s">
        <v>599</v>
      </c>
      <c r="D16" s="152" t="s">
        <v>680</v>
      </c>
    </row>
    <row r="17" spans="2:4" ht="35.25" customHeight="1" x14ac:dyDescent="0.3">
      <c r="B17" s="99" t="s">
        <v>600</v>
      </c>
      <c r="C17" s="151" t="s">
        <v>601</v>
      </c>
      <c r="D17" s="98" t="s">
        <v>299</v>
      </c>
    </row>
    <row r="18" spans="2:4" ht="35.25" customHeight="1" x14ac:dyDescent="0.3">
      <c r="B18" s="99" t="s">
        <v>602</v>
      </c>
      <c r="C18" s="151" t="s">
        <v>675</v>
      </c>
      <c r="D18" s="98"/>
    </row>
    <row r="19" spans="2:4" ht="12" customHeight="1" x14ac:dyDescent="0.3">
      <c r="B19" s="39"/>
      <c r="C19" s="40"/>
      <c r="D19" s="40"/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pane ySplit="3" topLeftCell="A4" activePane="bottomLeft" state="frozen"/>
      <selection activeCell="H28" sqref="H28"/>
      <selection pane="bottomLeft" activeCell="N11" sqref="N11"/>
    </sheetView>
  </sheetViews>
  <sheetFormatPr defaultRowHeight="13.5" x14ac:dyDescent="0.3"/>
  <cols>
    <col min="1" max="1" width="6" style="9" bestFit="1" customWidth="1"/>
    <col min="2" max="2" width="15.625" style="9" customWidth="1"/>
    <col min="3" max="3" width="11.875" style="9" customWidth="1"/>
    <col min="4" max="4" width="6" style="9" bestFit="1" customWidth="1"/>
    <col min="5" max="5" width="15.625" style="9" customWidth="1"/>
    <col min="6" max="6" width="11.875" style="9" customWidth="1"/>
    <col min="7" max="7" width="6" style="9" bestFit="1" customWidth="1"/>
    <col min="8" max="8" width="15.625" style="9" customWidth="1"/>
    <col min="9" max="9" width="11.875" style="9" customWidth="1"/>
    <col min="10" max="16384" width="9" style="9"/>
  </cols>
  <sheetData>
    <row r="1" spans="1:9" ht="22.5" x14ac:dyDescent="0.3">
      <c r="A1" s="10" t="s">
        <v>717</v>
      </c>
      <c r="B1" s="8"/>
      <c r="C1" s="8"/>
      <c r="D1" s="8"/>
      <c r="E1" s="8"/>
      <c r="F1" s="8"/>
      <c r="G1" s="8"/>
      <c r="H1" s="8"/>
      <c r="I1" s="8"/>
    </row>
    <row r="2" spans="1:9" s="11" customFormat="1" ht="14.25" x14ac:dyDescent="0.3">
      <c r="I2" s="12" t="s">
        <v>603</v>
      </c>
    </row>
    <row r="3" spans="1:9" s="13" customFormat="1" ht="23.25" customHeight="1" x14ac:dyDescent="0.3">
      <c r="A3" s="150" t="s">
        <v>605</v>
      </c>
      <c r="B3" s="153" t="s">
        <v>108</v>
      </c>
      <c r="C3" s="150" t="s">
        <v>109</v>
      </c>
      <c r="D3" s="150" t="s">
        <v>604</v>
      </c>
      <c r="E3" s="153" t="s">
        <v>606</v>
      </c>
      <c r="F3" s="150" t="s">
        <v>607</v>
      </c>
      <c r="G3" s="150" t="s">
        <v>605</v>
      </c>
      <c r="H3" s="153" t="s">
        <v>108</v>
      </c>
      <c r="I3" s="150" t="s">
        <v>109</v>
      </c>
    </row>
    <row r="4" spans="1:9" s="13" customFormat="1" ht="22.7" customHeight="1" x14ac:dyDescent="0.3">
      <c r="A4" s="99">
        <v>1001</v>
      </c>
      <c r="B4" s="143" t="s">
        <v>110</v>
      </c>
      <c r="C4" s="144">
        <v>180013</v>
      </c>
      <c r="D4" s="99">
        <v>1042</v>
      </c>
      <c r="E4" s="143" t="s">
        <v>148</v>
      </c>
      <c r="F4" s="144">
        <v>193773</v>
      </c>
      <c r="G4" s="99">
        <v>1083</v>
      </c>
      <c r="H4" s="143" t="s">
        <v>204</v>
      </c>
      <c r="I4" s="144">
        <v>216250</v>
      </c>
    </row>
    <row r="5" spans="1:9" s="13" customFormat="1" ht="22.7" customHeight="1" x14ac:dyDescent="0.3">
      <c r="A5" s="99">
        <v>1002</v>
      </c>
      <c r="B5" s="143" t="s">
        <v>59</v>
      </c>
      <c r="C5" s="144">
        <v>141096</v>
      </c>
      <c r="D5" s="99">
        <v>1043</v>
      </c>
      <c r="E5" s="143" t="s">
        <v>81</v>
      </c>
      <c r="F5" s="144">
        <v>181676</v>
      </c>
      <c r="G5" s="99">
        <v>1084</v>
      </c>
      <c r="H5" s="143" t="s">
        <v>205</v>
      </c>
      <c r="I5" s="144">
        <v>245687</v>
      </c>
    </row>
    <row r="6" spans="1:9" s="13" customFormat="1" ht="22.7" customHeight="1" x14ac:dyDescent="0.3">
      <c r="A6" s="99">
        <v>1003</v>
      </c>
      <c r="B6" s="143" t="s">
        <v>61</v>
      </c>
      <c r="C6" s="144">
        <v>179203</v>
      </c>
      <c r="D6" s="99">
        <v>1044</v>
      </c>
      <c r="E6" s="143" t="s">
        <v>149</v>
      </c>
      <c r="F6" s="144">
        <v>184244</v>
      </c>
      <c r="G6" s="99">
        <v>1085</v>
      </c>
      <c r="H6" s="143" t="s">
        <v>206</v>
      </c>
      <c r="I6" s="144">
        <v>254765</v>
      </c>
    </row>
    <row r="7" spans="1:9" s="13" customFormat="1" ht="22.7" customHeight="1" x14ac:dyDescent="0.3">
      <c r="A7" s="99">
        <v>1004</v>
      </c>
      <c r="B7" s="143" t="s">
        <v>111</v>
      </c>
      <c r="C7" s="144">
        <v>152740</v>
      </c>
      <c r="D7" s="99">
        <v>1045</v>
      </c>
      <c r="E7" s="143" t="s">
        <v>150</v>
      </c>
      <c r="F7" s="144">
        <v>152601</v>
      </c>
      <c r="G7" s="99">
        <v>1086</v>
      </c>
      <c r="H7" s="143" t="s">
        <v>207</v>
      </c>
      <c r="I7" s="144">
        <v>224251</v>
      </c>
    </row>
    <row r="8" spans="1:9" s="13" customFormat="1" ht="22.7" customHeight="1" x14ac:dyDescent="0.3">
      <c r="A8" s="99">
        <v>1005</v>
      </c>
      <c r="B8" s="143" t="s">
        <v>112</v>
      </c>
      <c r="C8" s="144">
        <v>186251</v>
      </c>
      <c r="D8" s="99">
        <v>1046</v>
      </c>
      <c r="E8" s="143" t="s">
        <v>151</v>
      </c>
      <c r="F8" s="144">
        <v>163911</v>
      </c>
      <c r="G8" s="99">
        <v>1087</v>
      </c>
      <c r="H8" s="143" t="s">
        <v>208</v>
      </c>
      <c r="I8" s="144">
        <v>245619</v>
      </c>
    </row>
    <row r="9" spans="1:9" s="13" customFormat="1" ht="22.7" customHeight="1" x14ac:dyDescent="0.3">
      <c r="A9" s="99">
        <v>1006</v>
      </c>
      <c r="B9" s="143" t="s">
        <v>113</v>
      </c>
      <c r="C9" s="144">
        <v>247977</v>
      </c>
      <c r="D9" s="99" t="s">
        <v>152</v>
      </c>
      <c r="E9" s="143" t="s">
        <v>153</v>
      </c>
      <c r="F9" s="144">
        <v>162226</v>
      </c>
      <c r="G9" s="99">
        <v>1088</v>
      </c>
      <c r="H9" s="143" t="s">
        <v>209</v>
      </c>
      <c r="I9" s="144">
        <v>319849</v>
      </c>
    </row>
    <row r="10" spans="1:9" s="13" customFormat="1" ht="22.7" customHeight="1" x14ac:dyDescent="0.3">
      <c r="A10" s="99">
        <v>1007</v>
      </c>
      <c r="B10" s="143" t="s">
        <v>114</v>
      </c>
      <c r="C10" s="144">
        <v>226280</v>
      </c>
      <c r="D10" s="99">
        <v>1048</v>
      </c>
      <c r="E10" s="143" t="s">
        <v>154</v>
      </c>
      <c r="F10" s="144">
        <v>212637</v>
      </c>
      <c r="G10" s="99">
        <v>1089</v>
      </c>
      <c r="H10" s="143" t="s">
        <v>210</v>
      </c>
      <c r="I10" s="144">
        <v>339623</v>
      </c>
    </row>
    <row r="11" spans="1:9" s="13" customFormat="1" ht="22.7" customHeight="1" x14ac:dyDescent="0.3">
      <c r="A11" s="99">
        <v>1008</v>
      </c>
      <c r="B11" s="143" t="s">
        <v>115</v>
      </c>
      <c r="C11" s="144">
        <v>228896</v>
      </c>
      <c r="D11" s="99" t="s">
        <v>155</v>
      </c>
      <c r="E11" s="143" t="s">
        <v>156</v>
      </c>
      <c r="F11" s="144">
        <v>173879</v>
      </c>
      <c r="G11" s="99">
        <v>1090</v>
      </c>
      <c r="H11" s="143" t="s">
        <v>211</v>
      </c>
      <c r="I11" s="144">
        <v>273520</v>
      </c>
    </row>
    <row r="12" spans="1:9" s="13" customFormat="1" ht="22.7" customHeight="1" x14ac:dyDescent="0.3">
      <c r="A12" s="99">
        <v>1009</v>
      </c>
      <c r="B12" s="143" t="s">
        <v>57</v>
      </c>
      <c r="C12" s="144">
        <v>200155</v>
      </c>
      <c r="D12" s="99" t="s">
        <v>157</v>
      </c>
      <c r="E12" s="143" t="s">
        <v>158</v>
      </c>
      <c r="F12" s="144">
        <v>137143</v>
      </c>
      <c r="G12" s="99" t="s">
        <v>212</v>
      </c>
      <c r="H12" s="143" t="s">
        <v>213</v>
      </c>
      <c r="I12" s="144">
        <v>184615</v>
      </c>
    </row>
    <row r="13" spans="1:9" s="13" customFormat="1" ht="22.7" customHeight="1" x14ac:dyDescent="0.3">
      <c r="A13" s="99">
        <v>1010</v>
      </c>
      <c r="B13" s="143" t="s">
        <v>116</v>
      </c>
      <c r="C13" s="144">
        <v>181604</v>
      </c>
      <c r="D13" s="99">
        <v>1051</v>
      </c>
      <c r="E13" s="143" t="s">
        <v>159</v>
      </c>
      <c r="F13" s="144">
        <v>190522</v>
      </c>
      <c r="G13" s="99">
        <v>2001</v>
      </c>
      <c r="H13" s="143" t="s">
        <v>214</v>
      </c>
      <c r="I13" s="144">
        <v>360206</v>
      </c>
    </row>
    <row r="14" spans="1:9" s="13" customFormat="1" ht="22.7" customHeight="1" x14ac:dyDescent="0.3">
      <c r="A14" s="99">
        <v>1011</v>
      </c>
      <c r="B14" s="143" t="s">
        <v>117</v>
      </c>
      <c r="C14" s="144">
        <v>205246</v>
      </c>
      <c r="D14" s="99" t="s">
        <v>160</v>
      </c>
      <c r="E14" s="143" t="s">
        <v>161</v>
      </c>
      <c r="F14" s="144" t="s">
        <v>162</v>
      </c>
      <c r="G14" s="99">
        <v>2002</v>
      </c>
      <c r="H14" s="143" t="s">
        <v>707</v>
      </c>
      <c r="I14" s="144">
        <v>330411</v>
      </c>
    </row>
    <row r="15" spans="1:9" s="13" customFormat="1" ht="22.7" customHeight="1" x14ac:dyDescent="0.3">
      <c r="A15" s="99">
        <v>1012</v>
      </c>
      <c r="B15" s="143" t="s">
        <v>60</v>
      </c>
      <c r="C15" s="144">
        <v>225966</v>
      </c>
      <c r="D15" s="99" t="s">
        <v>163</v>
      </c>
      <c r="E15" s="143" t="s">
        <v>164</v>
      </c>
      <c r="F15" s="144" t="s">
        <v>706</v>
      </c>
      <c r="G15" s="99">
        <v>2003</v>
      </c>
      <c r="H15" s="143" t="s">
        <v>708</v>
      </c>
      <c r="I15" s="144">
        <v>354793</v>
      </c>
    </row>
    <row r="16" spans="1:9" s="13" customFormat="1" ht="22.7" customHeight="1" x14ac:dyDescent="0.3">
      <c r="A16" s="99">
        <v>1013</v>
      </c>
      <c r="B16" s="143" t="s">
        <v>118</v>
      </c>
      <c r="C16" s="144">
        <v>215145</v>
      </c>
      <c r="D16" s="99" t="s">
        <v>165</v>
      </c>
      <c r="E16" s="143" t="s">
        <v>166</v>
      </c>
      <c r="F16" s="144" t="s">
        <v>706</v>
      </c>
      <c r="G16" s="99" t="s">
        <v>215</v>
      </c>
      <c r="H16" s="143" t="s">
        <v>216</v>
      </c>
      <c r="I16" s="144">
        <v>421053</v>
      </c>
    </row>
    <row r="17" spans="1:9" s="13" customFormat="1" ht="22.7" customHeight="1" x14ac:dyDescent="0.3">
      <c r="A17" s="99">
        <v>1014</v>
      </c>
      <c r="B17" s="143" t="s">
        <v>119</v>
      </c>
      <c r="C17" s="144">
        <v>191340</v>
      </c>
      <c r="D17" s="99" t="s">
        <v>167</v>
      </c>
      <c r="E17" s="143" t="s">
        <v>168</v>
      </c>
      <c r="F17" s="144" t="s">
        <v>706</v>
      </c>
      <c r="G17" s="99" t="s">
        <v>217</v>
      </c>
      <c r="H17" s="143" t="s">
        <v>218</v>
      </c>
      <c r="I17" s="144" t="s">
        <v>162</v>
      </c>
    </row>
    <row r="18" spans="1:9" s="13" customFormat="1" ht="22.7" customHeight="1" x14ac:dyDescent="0.3">
      <c r="A18" s="99" t="s">
        <v>120</v>
      </c>
      <c r="B18" s="143" t="s">
        <v>121</v>
      </c>
      <c r="C18" s="144">
        <v>173250</v>
      </c>
      <c r="D18" s="99">
        <v>1056</v>
      </c>
      <c r="E18" s="143" t="s">
        <v>169</v>
      </c>
      <c r="F18" s="144">
        <v>266618</v>
      </c>
      <c r="G18" s="99">
        <v>3003</v>
      </c>
      <c r="H18" s="143" t="s">
        <v>219</v>
      </c>
      <c r="I18" s="144">
        <v>246346</v>
      </c>
    </row>
    <row r="19" spans="1:9" s="13" customFormat="1" ht="22.7" customHeight="1" x14ac:dyDescent="0.3">
      <c r="A19" s="99">
        <v>1016</v>
      </c>
      <c r="B19" s="143" t="s">
        <v>122</v>
      </c>
      <c r="C19" s="144">
        <v>206294</v>
      </c>
      <c r="D19" s="99">
        <v>1057</v>
      </c>
      <c r="E19" s="143" t="s">
        <v>170</v>
      </c>
      <c r="F19" s="144">
        <v>208513</v>
      </c>
      <c r="G19" s="99" t="s">
        <v>220</v>
      </c>
      <c r="H19" s="143" t="s">
        <v>221</v>
      </c>
      <c r="I19" s="144">
        <v>202105</v>
      </c>
    </row>
    <row r="20" spans="1:9" s="13" customFormat="1" ht="22.7" customHeight="1" x14ac:dyDescent="0.3">
      <c r="A20" s="99">
        <v>1017</v>
      </c>
      <c r="B20" s="143" t="s">
        <v>123</v>
      </c>
      <c r="C20" s="144">
        <v>189028</v>
      </c>
      <c r="D20" s="99">
        <v>1058</v>
      </c>
      <c r="E20" s="143" t="s">
        <v>171</v>
      </c>
      <c r="F20" s="144">
        <v>238423</v>
      </c>
      <c r="G20" s="99">
        <v>3005</v>
      </c>
      <c r="H20" s="143" t="s">
        <v>222</v>
      </c>
      <c r="I20" s="144">
        <v>324939</v>
      </c>
    </row>
    <row r="21" spans="1:9" s="13" customFormat="1" ht="22.7" customHeight="1" x14ac:dyDescent="0.3">
      <c r="A21" s="99" t="s">
        <v>124</v>
      </c>
      <c r="B21" s="143" t="s">
        <v>125</v>
      </c>
      <c r="C21" s="144">
        <v>172935</v>
      </c>
      <c r="D21" s="99" t="s">
        <v>172</v>
      </c>
      <c r="E21" s="143" t="s">
        <v>173</v>
      </c>
      <c r="F21" s="144">
        <v>285714</v>
      </c>
      <c r="G21" s="99" t="s">
        <v>223</v>
      </c>
      <c r="H21" s="143" t="s">
        <v>224</v>
      </c>
      <c r="I21" s="144">
        <v>246667</v>
      </c>
    </row>
    <row r="22" spans="1:9" s="13" customFormat="1" ht="22.7" customHeight="1" x14ac:dyDescent="0.3">
      <c r="A22" s="99">
        <v>1019</v>
      </c>
      <c r="B22" s="143" t="s">
        <v>126</v>
      </c>
      <c r="C22" s="144">
        <v>212761</v>
      </c>
      <c r="D22" s="99">
        <v>1060</v>
      </c>
      <c r="E22" s="143" t="s">
        <v>174</v>
      </c>
      <c r="F22" s="144">
        <v>217415</v>
      </c>
      <c r="G22" s="99" t="s">
        <v>225</v>
      </c>
      <c r="H22" s="143" t="s">
        <v>226</v>
      </c>
      <c r="I22" s="144">
        <v>290026</v>
      </c>
    </row>
    <row r="23" spans="1:9" s="13" customFormat="1" ht="22.7" customHeight="1" x14ac:dyDescent="0.3">
      <c r="A23" s="99">
        <v>1020</v>
      </c>
      <c r="B23" s="143" t="s">
        <v>127</v>
      </c>
      <c r="C23" s="144">
        <v>285645</v>
      </c>
      <c r="D23" s="99">
        <v>1061</v>
      </c>
      <c r="E23" s="143" t="s">
        <v>175</v>
      </c>
      <c r="F23" s="144">
        <v>176704</v>
      </c>
      <c r="G23" s="99" t="s">
        <v>227</v>
      </c>
      <c r="H23" s="143" t="s">
        <v>228</v>
      </c>
      <c r="I23" s="144">
        <v>227495</v>
      </c>
    </row>
    <row r="24" spans="1:9" s="13" customFormat="1" ht="22.7" customHeight="1" x14ac:dyDescent="0.3">
      <c r="A24" s="99">
        <v>1021</v>
      </c>
      <c r="B24" s="143" t="s">
        <v>128</v>
      </c>
      <c r="C24" s="144">
        <v>217664</v>
      </c>
      <c r="D24" s="99">
        <v>1062</v>
      </c>
      <c r="E24" s="143" t="s">
        <v>176</v>
      </c>
      <c r="F24" s="144">
        <v>274707</v>
      </c>
      <c r="G24" s="99" t="s">
        <v>229</v>
      </c>
      <c r="H24" s="143" t="s">
        <v>230</v>
      </c>
      <c r="I24" s="144">
        <v>245000</v>
      </c>
    </row>
    <row r="25" spans="1:9" s="13" customFormat="1" ht="22.7" customHeight="1" x14ac:dyDescent="0.3">
      <c r="A25" s="99">
        <v>1022</v>
      </c>
      <c r="B25" s="143" t="s">
        <v>129</v>
      </c>
      <c r="C25" s="144">
        <v>199735</v>
      </c>
      <c r="D25" s="99">
        <v>1063</v>
      </c>
      <c r="E25" s="143" t="s">
        <v>177</v>
      </c>
      <c r="F25" s="144">
        <v>196381</v>
      </c>
      <c r="G25" s="99" t="s">
        <v>231</v>
      </c>
      <c r="H25" s="143" t="s">
        <v>232</v>
      </c>
      <c r="I25" s="144" t="s">
        <v>706</v>
      </c>
    </row>
    <row r="26" spans="1:9" s="13" customFormat="1" ht="22.7" customHeight="1" x14ac:dyDescent="0.3">
      <c r="A26" s="99">
        <v>1023</v>
      </c>
      <c r="B26" s="143" t="s">
        <v>130</v>
      </c>
      <c r="C26" s="144">
        <v>224657</v>
      </c>
      <c r="D26" s="99" t="s">
        <v>178</v>
      </c>
      <c r="E26" s="143" t="s">
        <v>179</v>
      </c>
      <c r="F26" s="144">
        <v>183708</v>
      </c>
      <c r="G26" s="99" t="s">
        <v>233</v>
      </c>
      <c r="H26" s="143" t="s">
        <v>234</v>
      </c>
      <c r="I26" s="144" t="s">
        <v>608</v>
      </c>
    </row>
    <row r="27" spans="1:9" s="13" customFormat="1" ht="22.7" customHeight="1" x14ac:dyDescent="0.3">
      <c r="A27" s="99">
        <v>1024</v>
      </c>
      <c r="B27" s="143" t="s">
        <v>131</v>
      </c>
      <c r="C27" s="144">
        <v>217409</v>
      </c>
      <c r="D27" s="99" t="s">
        <v>180</v>
      </c>
      <c r="E27" s="143" t="s">
        <v>181</v>
      </c>
      <c r="F27" s="144">
        <v>219868</v>
      </c>
      <c r="G27" s="99" t="s">
        <v>235</v>
      </c>
      <c r="H27" s="143" t="s">
        <v>581</v>
      </c>
      <c r="I27" s="144" t="s">
        <v>706</v>
      </c>
    </row>
    <row r="28" spans="1:9" s="13" customFormat="1" ht="22.7" customHeight="1" x14ac:dyDescent="0.3">
      <c r="A28" s="99">
        <v>1025</v>
      </c>
      <c r="B28" s="143" t="s">
        <v>132</v>
      </c>
      <c r="C28" s="144">
        <v>205044</v>
      </c>
      <c r="D28" s="99" t="s">
        <v>182</v>
      </c>
      <c r="E28" s="143" t="s">
        <v>183</v>
      </c>
      <c r="F28" s="144">
        <v>260000</v>
      </c>
      <c r="G28" s="99" t="s">
        <v>236</v>
      </c>
      <c r="H28" s="143" t="s">
        <v>237</v>
      </c>
      <c r="I28" s="144" t="s">
        <v>706</v>
      </c>
    </row>
    <row r="29" spans="1:9" s="13" customFormat="1" ht="22.7" customHeight="1" x14ac:dyDescent="0.3">
      <c r="A29" s="99">
        <v>1026</v>
      </c>
      <c r="B29" s="143" t="s">
        <v>133</v>
      </c>
      <c r="C29" s="144">
        <v>174334</v>
      </c>
      <c r="D29" s="99">
        <v>1067</v>
      </c>
      <c r="E29" s="143" t="s">
        <v>184</v>
      </c>
      <c r="F29" s="144">
        <v>227625</v>
      </c>
      <c r="G29" s="99" t="s">
        <v>238</v>
      </c>
      <c r="H29" s="143" t="s">
        <v>239</v>
      </c>
      <c r="I29" s="144">
        <v>261429</v>
      </c>
    </row>
    <row r="30" spans="1:9" s="13" customFormat="1" ht="22.7" customHeight="1" x14ac:dyDescent="0.3">
      <c r="A30" s="99">
        <v>1027</v>
      </c>
      <c r="B30" s="143" t="s">
        <v>134</v>
      </c>
      <c r="C30" s="144">
        <v>228423</v>
      </c>
      <c r="D30" s="99" t="s">
        <v>185</v>
      </c>
      <c r="E30" s="143" t="s">
        <v>186</v>
      </c>
      <c r="F30" s="144">
        <v>182441</v>
      </c>
      <c r="G30" s="99" t="s">
        <v>240</v>
      </c>
      <c r="H30" s="143" t="s">
        <v>241</v>
      </c>
      <c r="I30" s="144">
        <v>365113</v>
      </c>
    </row>
    <row r="31" spans="1:9" s="13" customFormat="1" ht="22.7" customHeight="1" x14ac:dyDescent="0.3">
      <c r="A31" s="99">
        <v>1028</v>
      </c>
      <c r="B31" s="143" t="s">
        <v>135</v>
      </c>
      <c r="C31" s="144">
        <v>230160</v>
      </c>
      <c r="D31" s="99" t="s">
        <v>187</v>
      </c>
      <c r="E31" s="143" t="s">
        <v>188</v>
      </c>
      <c r="F31" s="144">
        <v>175386</v>
      </c>
      <c r="G31" s="99" t="s">
        <v>242</v>
      </c>
      <c r="H31" s="143" t="s">
        <v>243</v>
      </c>
      <c r="I31" s="144">
        <v>247727</v>
      </c>
    </row>
    <row r="32" spans="1:9" s="13" customFormat="1" ht="22.7" customHeight="1" x14ac:dyDescent="0.3">
      <c r="A32" s="99">
        <v>1029</v>
      </c>
      <c r="B32" s="143" t="s">
        <v>73</v>
      </c>
      <c r="C32" s="144">
        <v>213676</v>
      </c>
      <c r="D32" s="99" t="s">
        <v>189</v>
      </c>
      <c r="E32" s="143" t="s">
        <v>190</v>
      </c>
      <c r="F32" s="144">
        <v>160900</v>
      </c>
      <c r="G32" s="99" t="s">
        <v>244</v>
      </c>
      <c r="H32" s="143" t="s">
        <v>245</v>
      </c>
      <c r="I32" s="144">
        <v>256000</v>
      </c>
    </row>
    <row r="33" spans="1:9" s="13" customFormat="1" ht="22.7" customHeight="1" x14ac:dyDescent="0.3">
      <c r="A33" s="99">
        <v>1030</v>
      </c>
      <c r="B33" s="143" t="s">
        <v>136</v>
      </c>
      <c r="C33" s="144">
        <v>206253</v>
      </c>
      <c r="D33" s="99" t="s">
        <v>191</v>
      </c>
      <c r="E33" s="143" t="s">
        <v>192</v>
      </c>
      <c r="F33" s="144">
        <v>136668</v>
      </c>
      <c r="G33" s="99" t="s">
        <v>246</v>
      </c>
      <c r="H33" s="143" t="s">
        <v>247</v>
      </c>
      <c r="I33" s="144">
        <v>220000</v>
      </c>
    </row>
    <row r="34" spans="1:9" s="13" customFormat="1" ht="22.7" customHeight="1" x14ac:dyDescent="0.3">
      <c r="A34" s="99">
        <v>1031</v>
      </c>
      <c r="B34" s="143" t="s">
        <v>137</v>
      </c>
      <c r="C34" s="144">
        <v>185814</v>
      </c>
      <c r="D34" s="99">
        <v>1072</v>
      </c>
      <c r="E34" s="143" t="s">
        <v>193</v>
      </c>
      <c r="F34" s="144">
        <v>248325</v>
      </c>
      <c r="G34" s="99">
        <v>4001</v>
      </c>
      <c r="H34" s="143" t="s">
        <v>248</v>
      </c>
      <c r="I34" s="144">
        <v>219796</v>
      </c>
    </row>
    <row r="35" spans="1:9" s="13" customFormat="1" ht="22.7" customHeight="1" x14ac:dyDescent="0.3">
      <c r="A35" s="99" t="s">
        <v>138</v>
      </c>
      <c r="B35" s="143" t="s">
        <v>139</v>
      </c>
      <c r="C35" s="144" t="s">
        <v>162</v>
      </c>
      <c r="D35" s="99">
        <v>1073</v>
      </c>
      <c r="E35" s="143" t="s">
        <v>194</v>
      </c>
      <c r="F35" s="144">
        <v>211956</v>
      </c>
      <c r="G35" s="99">
        <v>4002</v>
      </c>
      <c r="H35" s="143" t="s">
        <v>249</v>
      </c>
      <c r="I35" s="144">
        <v>201040</v>
      </c>
    </row>
    <row r="36" spans="1:9" s="13" customFormat="1" ht="22.7" customHeight="1" x14ac:dyDescent="0.3">
      <c r="A36" s="99">
        <v>1033</v>
      </c>
      <c r="B36" s="143" t="s">
        <v>140</v>
      </c>
      <c r="C36" s="144">
        <v>212629</v>
      </c>
      <c r="D36" s="99">
        <v>1074</v>
      </c>
      <c r="E36" s="143" t="s">
        <v>195</v>
      </c>
      <c r="F36" s="144">
        <v>172575</v>
      </c>
      <c r="G36" s="99">
        <v>4003</v>
      </c>
      <c r="H36" s="143" t="s">
        <v>250</v>
      </c>
      <c r="I36" s="144">
        <v>214418</v>
      </c>
    </row>
    <row r="37" spans="1:9" s="13" customFormat="1" ht="22.7" customHeight="1" x14ac:dyDescent="0.3">
      <c r="A37" s="99">
        <v>1034</v>
      </c>
      <c r="B37" s="143" t="s">
        <v>141</v>
      </c>
      <c r="C37" s="144">
        <v>169920</v>
      </c>
      <c r="D37" s="99">
        <v>1075</v>
      </c>
      <c r="E37" s="143" t="s">
        <v>196</v>
      </c>
      <c r="F37" s="144">
        <v>242731</v>
      </c>
      <c r="G37" s="99">
        <v>4004</v>
      </c>
      <c r="H37" s="143" t="s">
        <v>251</v>
      </c>
      <c r="I37" s="144">
        <v>261522</v>
      </c>
    </row>
    <row r="38" spans="1:9" s="13" customFormat="1" ht="22.7" customHeight="1" x14ac:dyDescent="0.3">
      <c r="A38" s="99">
        <v>1035</v>
      </c>
      <c r="B38" s="143" t="s">
        <v>142</v>
      </c>
      <c r="C38" s="144">
        <v>186646</v>
      </c>
      <c r="D38" s="99">
        <v>1076</v>
      </c>
      <c r="E38" s="143" t="s">
        <v>197</v>
      </c>
      <c r="F38" s="144">
        <v>371737</v>
      </c>
      <c r="G38" s="99">
        <v>5001</v>
      </c>
      <c r="H38" s="143" t="s">
        <v>252</v>
      </c>
      <c r="I38" s="144">
        <v>257342</v>
      </c>
    </row>
    <row r="39" spans="1:9" s="13" customFormat="1" ht="22.7" customHeight="1" x14ac:dyDescent="0.3">
      <c r="A39" s="99">
        <v>1036</v>
      </c>
      <c r="B39" s="143" t="s">
        <v>143</v>
      </c>
      <c r="C39" s="144">
        <v>181305</v>
      </c>
      <c r="D39" s="99">
        <v>1077</v>
      </c>
      <c r="E39" s="143" t="s">
        <v>198</v>
      </c>
      <c r="F39" s="144">
        <v>313970</v>
      </c>
      <c r="G39" s="99">
        <v>5002</v>
      </c>
      <c r="H39" s="143" t="s">
        <v>253</v>
      </c>
      <c r="I39" s="144">
        <v>254403</v>
      </c>
    </row>
    <row r="40" spans="1:9" s="13" customFormat="1" ht="22.7" customHeight="1" x14ac:dyDescent="0.3">
      <c r="A40" s="99" t="s">
        <v>144</v>
      </c>
      <c r="B40" s="143" t="s">
        <v>145</v>
      </c>
      <c r="C40" s="144">
        <v>200000</v>
      </c>
      <c r="D40" s="99">
        <v>1078</v>
      </c>
      <c r="E40" s="143" t="s">
        <v>199</v>
      </c>
      <c r="F40" s="144">
        <v>254661</v>
      </c>
      <c r="G40" s="99">
        <v>5003</v>
      </c>
      <c r="H40" s="143" t="s">
        <v>254</v>
      </c>
      <c r="I40" s="144">
        <v>206555</v>
      </c>
    </row>
    <row r="41" spans="1:9" s="13" customFormat="1" ht="22.7" customHeight="1" x14ac:dyDescent="0.3">
      <c r="A41" s="99">
        <v>1038</v>
      </c>
      <c r="B41" s="143" t="s">
        <v>146</v>
      </c>
      <c r="C41" s="144">
        <v>181378</v>
      </c>
      <c r="D41" s="99">
        <v>1079</v>
      </c>
      <c r="E41" s="143" t="s">
        <v>200</v>
      </c>
      <c r="F41" s="144">
        <v>458124</v>
      </c>
      <c r="G41" s="99">
        <v>5004</v>
      </c>
      <c r="H41" s="143" t="s">
        <v>255</v>
      </c>
      <c r="I41" s="144">
        <v>263081</v>
      </c>
    </row>
    <row r="42" spans="1:9" s="13" customFormat="1" ht="22.7" customHeight="1" x14ac:dyDescent="0.3">
      <c r="A42" s="99">
        <v>1039</v>
      </c>
      <c r="B42" s="143" t="s">
        <v>84</v>
      </c>
      <c r="C42" s="144">
        <v>201852</v>
      </c>
      <c r="D42" s="99">
        <v>1080</v>
      </c>
      <c r="E42" s="143" t="s">
        <v>201</v>
      </c>
      <c r="F42" s="144">
        <v>501102</v>
      </c>
      <c r="G42" s="99">
        <v>5005</v>
      </c>
      <c r="H42" s="143" t="s">
        <v>256</v>
      </c>
      <c r="I42" s="144">
        <v>241167</v>
      </c>
    </row>
    <row r="43" spans="1:9" s="13" customFormat="1" ht="22.7" customHeight="1" x14ac:dyDescent="0.3">
      <c r="A43" s="99">
        <v>1040</v>
      </c>
      <c r="B43" s="143" t="s">
        <v>709</v>
      </c>
      <c r="C43" s="144">
        <v>205381</v>
      </c>
      <c r="D43" s="99">
        <v>1081</v>
      </c>
      <c r="E43" s="143" t="s">
        <v>202</v>
      </c>
      <c r="F43" s="144">
        <v>361209</v>
      </c>
      <c r="G43" s="99">
        <v>5006</v>
      </c>
      <c r="H43" s="143" t="s">
        <v>257</v>
      </c>
      <c r="I43" s="144">
        <v>369045</v>
      </c>
    </row>
    <row r="44" spans="1:9" s="13" customFormat="1" ht="22.7" customHeight="1" x14ac:dyDescent="0.3">
      <c r="A44" s="99">
        <v>1041</v>
      </c>
      <c r="B44" s="143" t="s">
        <v>147</v>
      </c>
      <c r="C44" s="144">
        <v>190000</v>
      </c>
      <c r="D44" s="99">
        <v>1082</v>
      </c>
      <c r="E44" s="143" t="s">
        <v>203</v>
      </c>
      <c r="F44" s="144">
        <v>472721</v>
      </c>
      <c r="G44" s="99">
        <v>5007</v>
      </c>
      <c r="H44" s="143" t="s">
        <v>258</v>
      </c>
      <c r="I44" s="144">
        <v>187843</v>
      </c>
    </row>
  </sheetData>
  <phoneticPr fontId="1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9" sqref="F9"/>
    </sheetView>
  </sheetViews>
  <sheetFormatPr defaultRowHeight="16.5" x14ac:dyDescent="0.3"/>
  <cols>
    <col min="1" max="2" width="22.625" style="45" customWidth="1"/>
    <col min="3" max="3" width="26.375" style="45" customWidth="1"/>
    <col min="4" max="4" width="22.625" style="45" customWidth="1"/>
    <col min="5" max="5" width="7.875" style="45" customWidth="1"/>
    <col min="6" max="6" width="13.125" style="45" customWidth="1"/>
    <col min="7" max="7" width="15.5" style="45" customWidth="1"/>
    <col min="8" max="8" width="17.5" style="45" customWidth="1"/>
    <col min="9" max="16384" width="9" style="45"/>
  </cols>
  <sheetData>
    <row r="1" spans="1:7" x14ac:dyDescent="0.3">
      <c r="A1" s="42"/>
      <c r="B1" s="43"/>
      <c r="C1" s="43"/>
      <c r="D1" s="43"/>
      <c r="E1" s="43"/>
      <c r="F1" s="43"/>
      <c r="G1" s="44"/>
    </row>
    <row r="2" spans="1:7" ht="20.25" x14ac:dyDescent="0.3">
      <c r="A2" s="46" t="s">
        <v>672</v>
      </c>
      <c r="B2" s="47"/>
      <c r="C2" s="47"/>
      <c r="D2" s="47"/>
      <c r="E2" s="47"/>
      <c r="F2" s="47"/>
      <c r="G2" s="48"/>
    </row>
    <row r="3" spans="1:7" ht="22.5" customHeight="1" x14ac:dyDescent="0.3">
      <c r="A3" s="49"/>
      <c r="B3" s="47"/>
      <c r="C3" s="47"/>
      <c r="D3" s="47"/>
      <c r="E3" s="47"/>
      <c r="F3" s="47"/>
      <c r="G3" s="48"/>
    </row>
    <row r="4" spans="1:7" ht="38.25" x14ac:dyDescent="0.3">
      <c r="A4" s="49"/>
      <c r="B4" s="47"/>
      <c r="C4" s="165" t="s">
        <v>0</v>
      </c>
      <c r="D4" s="165"/>
      <c r="E4" s="47"/>
      <c r="F4" s="47"/>
      <c r="G4" s="48"/>
    </row>
    <row r="5" spans="1:7" x14ac:dyDescent="0.3">
      <c r="A5" s="49"/>
      <c r="B5" s="47"/>
      <c r="C5" s="47"/>
      <c r="D5" s="47"/>
      <c r="E5" s="47"/>
      <c r="F5" s="47"/>
      <c r="G5" s="48"/>
    </row>
    <row r="6" spans="1:7" ht="38.25" customHeight="1" x14ac:dyDescent="0.3">
      <c r="A6" s="49"/>
      <c r="B6" s="50" t="s">
        <v>676</v>
      </c>
      <c r="C6" s="47"/>
      <c r="D6" s="47"/>
      <c r="E6" s="47"/>
      <c r="F6" s="47"/>
      <c r="G6" s="48"/>
    </row>
    <row r="7" spans="1:7" x14ac:dyDescent="0.3">
      <c r="A7" s="49"/>
      <c r="B7" s="47"/>
      <c r="C7" s="47"/>
      <c r="D7" s="47"/>
      <c r="E7" s="47"/>
      <c r="F7" s="47"/>
      <c r="G7" s="48"/>
    </row>
    <row r="8" spans="1:7" x14ac:dyDescent="0.3">
      <c r="A8" s="49"/>
      <c r="B8" s="47"/>
      <c r="C8" s="47"/>
      <c r="D8" s="47"/>
      <c r="E8" s="47"/>
      <c r="F8" s="47"/>
      <c r="G8" s="48"/>
    </row>
    <row r="9" spans="1:7" ht="29.25" customHeight="1" x14ac:dyDescent="0.3">
      <c r="A9" s="49"/>
      <c r="B9" s="51" t="s">
        <v>1</v>
      </c>
      <c r="C9" s="147" t="s">
        <v>673</v>
      </c>
      <c r="D9" s="47"/>
      <c r="E9" s="47"/>
      <c r="F9" s="47"/>
      <c r="G9" s="48"/>
    </row>
    <row r="10" spans="1:7" ht="29.25" customHeight="1" x14ac:dyDescent="0.3">
      <c r="A10" s="49"/>
      <c r="B10" s="51" t="s">
        <v>2</v>
      </c>
      <c r="C10" s="51" t="s">
        <v>677</v>
      </c>
      <c r="D10" s="47"/>
      <c r="E10" s="47"/>
      <c r="F10" s="47"/>
      <c r="G10" s="48"/>
    </row>
    <row r="11" spans="1:7" ht="29.25" customHeight="1" x14ac:dyDescent="0.3">
      <c r="A11" s="49"/>
      <c r="B11" s="51" t="s">
        <v>3</v>
      </c>
      <c r="C11" s="51" t="s">
        <v>674</v>
      </c>
      <c r="D11" s="47"/>
      <c r="E11" s="47"/>
      <c r="F11" s="47"/>
      <c r="G11" s="48"/>
    </row>
    <row r="12" spans="1:7" ht="29.25" customHeight="1" x14ac:dyDescent="0.3">
      <c r="A12" s="49"/>
      <c r="B12" s="47"/>
      <c r="C12" s="47"/>
      <c r="D12" s="47"/>
      <c r="E12" s="47"/>
      <c r="F12" s="47"/>
      <c r="G12" s="48"/>
    </row>
    <row r="13" spans="1:7" ht="26.25" x14ac:dyDescent="0.3">
      <c r="A13" s="49"/>
      <c r="B13" s="193" t="s">
        <v>725</v>
      </c>
      <c r="C13" s="58">
        <f>원가계산서!D21</f>
        <v>91260000</v>
      </c>
      <c r="D13" s="59" t="s">
        <v>4</v>
      </c>
      <c r="E13" s="59"/>
      <c r="F13" s="52"/>
      <c r="G13" s="48"/>
    </row>
    <row r="14" spans="1:7" ht="20.25" x14ac:dyDescent="0.3">
      <c r="A14" s="49"/>
      <c r="B14" s="194" t="s">
        <v>724</v>
      </c>
      <c r="C14" s="192">
        <f>원가계산서!D22</f>
        <v>82134000</v>
      </c>
      <c r="D14" s="59" t="s">
        <v>726</v>
      </c>
      <c r="E14" s="59"/>
      <c r="F14" s="52"/>
      <c r="G14" s="48"/>
    </row>
    <row r="15" spans="1:7" ht="20.25" x14ac:dyDescent="0.3">
      <c r="A15" s="49"/>
      <c r="B15" s="194" t="s">
        <v>727</v>
      </c>
      <c r="C15" s="192">
        <f>+C13-C14</f>
        <v>9126000</v>
      </c>
      <c r="D15" s="59" t="s">
        <v>726</v>
      </c>
      <c r="E15" s="59"/>
      <c r="F15" s="52"/>
      <c r="G15" s="48"/>
    </row>
    <row r="16" spans="1:7" ht="20.25" x14ac:dyDescent="0.3">
      <c r="A16" s="49"/>
      <c r="B16" s="59"/>
      <c r="C16" s="59"/>
      <c r="D16" s="59"/>
      <c r="E16" s="59"/>
      <c r="F16" s="52"/>
      <c r="G16" s="48"/>
    </row>
    <row r="17" spans="1:7" ht="20.25" x14ac:dyDescent="0.3">
      <c r="A17" s="49"/>
      <c r="B17" s="163" t="s">
        <v>728</v>
      </c>
      <c r="C17" s="59"/>
      <c r="D17" s="59"/>
      <c r="E17" s="59"/>
      <c r="F17" s="52"/>
      <c r="G17" s="48"/>
    </row>
    <row r="18" spans="1:7" ht="20.25" x14ac:dyDescent="0.3">
      <c r="A18" s="49"/>
      <c r="B18" s="59"/>
      <c r="C18" s="59"/>
      <c r="D18" s="59"/>
      <c r="E18" s="59"/>
      <c r="F18" s="52"/>
      <c r="G18" s="48"/>
    </row>
    <row r="19" spans="1:7" ht="20.25" x14ac:dyDescent="0.3">
      <c r="A19" s="49"/>
      <c r="B19" s="59"/>
      <c r="C19" s="47"/>
      <c r="D19" s="53"/>
      <c r="E19" s="47"/>
      <c r="F19" s="47"/>
      <c r="G19" s="48"/>
    </row>
    <row r="20" spans="1:7" x14ac:dyDescent="0.3">
      <c r="A20" s="54"/>
      <c r="B20" s="55"/>
      <c r="C20" s="55"/>
      <c r="D20" s="56"/>
      <c r="E20" s="55"/>
      <c r="F20" s="55"/>
      <c r="G20" s="57"/>
    </row>
  </sheetData>
  <mergeCells count="1">
    <mergeCell ref="C4:D4"/>
  </mergeCells>
  <phoneticPr fontId="1" type="noConversion"/>
  <pageMargins left="0.39370078740157483" right="0.31496062992125984" top="0.55118110236220474" bottom="0.55118110236220474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I11" sqref="I10:I11"/>
    </sheetView>
  </sheetViews>
  <sheetFormatPr defaultRowHeight="16.5" x14ac:dyDescent="0.3"/>
  <cols>
    <col min="1" max="1" width="5.5" style="1" customWidth="1"/>
    <col min="2" max="2" width="8.375" style="1" customWidth="1"/>
    <col min="3" max="3" width="16.25" style="1" customWidth="1"/>
    <col min="4" max="4" width="16.875" style="1" customWidth="1"/>
    <col min="5" max="5" width="25.625" style="1" bestFit="1" customWidth="1"/>
    <col min="6" max="6" width="22.875" style="1" bestFit="1" customWidth="1"/>
    <col min="7" max="7" width="3.75" style="1" customWidth="1"/>
    <col min="8" max="16384" width="9" style="1"/>
  </cols>
  <sheetData>
    <row r="1" spans="1:8" ht="29.25" customHeight="1" x14ac:dyDescent="0.3">
      <c r="A1" s="169" t="s">
        <v>5</v>
      </c>
      <c r="B1" s="169"/>
      <c r="C1" s="169"/>
      <c r="D1" s="169"/>
      <c r="E1" s="169"/>
      <c r="F1" s="169"/>
    </row>
    <row r="2" spans="1:8" ht="21.75" customHeight="1" x14ac:dyDescent="0.3">
      <c r="A2" s="158" t="str">
        <f>표지!B6</f>
        <v>공사명  :  OOO주식회사 흡수에의한시설 OOOCMM 설치공사</v>
      </c>
      <c r="B2" s="158"/>
      <c r="C2" s="158"/>
      <c r="D2" s="158"/>
      <c r="E2" s="158"/>
      <c r="F2" s="158"/>
    </row>
    <row r="3" spans="1:8" s="67" customFormat="1" ht="33" customHeight="1" x14ac:dyDescent="0.3">
      <c r="A3" s="168" t="s">
        <v>671</v>
      </c>
      <c r="B3" s="168"/>
      <c r="C3" s="168"/>
      <c r="D3" s="64" t="s">
        <v>306</v>
      </c>
      <c r="E3" s="65" t="s">
        <v>304</v>
      </c>
      <c r="F3" s="66" t="s">
        <v>305</v>
      </c>
    </row>
    <row r="4" spans="1:8" s="67" customFormat="1" ht="20.100000000000001" customHeight="1" x14ac:dyDescent="0.3">
      <c r="A4" s="170" t="s">
        <v>307</v>
      </c>
      <c r="B4" s="168" t="s">
        <v>6</v>
      </c>
      <c r="C4" s="77" t="s">
        <v>318</v>
      </c>
      <c r="D4" s="68">
        <f>집계표!E15</f>
        <v>29117922</v>
      </c>
      <c r="E4" s="62"/>
      <c r="F4" s="62"/>
    </row>
    <row r="5" spans="1:8" s="67" customFormat="1" ht="20.100000000000001" customHeight="1" x14ac:dyDescent="0.3">
      <c r="A5" s="171"/>
      <c r="B5" s="168"/>
      <c r="C5" s="69" t="s">
        <v>268</v>
      </c>
      <c r="D5" s="70">
        <f>INT(SUM(D4:D4))</f>
        <v>29117922</v>
      </c>
      <c r="E5" s="62"/>
      <c r="F5" s="62"/>
      <c r="G5" s="23" t="s">
        <v>302</v>
      </c>
      <c r="H5" s="67" t="s">
        <v>682</v>
      </c>
    </row>
    <row r="6" spans="1:8" s="67" customFormat="1" ht="20.100000000000001" customHeight="1" x14ac:dyDescent="0.3">
      <c r="A6" s="171"/>
      <c r="B6" s="168" t="s">
        <v>7</v>
      </c>
      <c r="C6" s="77" t="s">
        <v>319</v>
      </c>
      <c r="D6" s="68">
        <f>집계표!G15</f>
        <v>39409008</v>
      </c>
      <c r="E6" s="62"/>
      <c r="F6" s="62"/>
      <c r="G6" s="23" t="s">
        <v>303</v>
      </c>
      <c r="H6" s="67" t="s">
        <v>311</v>
      </c>
    </row>
    <row r="7" spans="1:8" s="67" customFormat="1" ht="20.100000000000001" customHeight="1" x14ac:dyDescent="0.3">
      <c r="A7" s="171"/>
      <c r="B7" s="168"/>
      <c r="C7" s="77" t="s">
        <v>705</v>
      </c>
      <c r="D7" s="68">
        <f>INT(D6*8%)</f>
        <v>3152720</v>
      </c>
      <c r="E7" s="62" t="s">
        <v>710</v>
      </c>
      <c r="F7" s="62"/>
      <c r="G7" s="23"/>
    </row>
    <row r="8" spans="1:8" s="67" customFormat="1" ht="20.100000000000001" customHeight="1" x14ac:dyDescent="0.3">
      <c r="A8" s="171"/>
      <c r="B8" s="168"/>
      <c r="C8" s="69" t="s">
        <v>269</v>
      </c>
      <c r="D8" s="70">
        <f>SUM(D6:D7)</f>
        <v>42561728</v>
      </c>
      <c r="E8" s="62"/>
      <c r="F8" s="62"/>
      <c r="G8" s="23"/>
      <c r="H8" s="159"/>
    </row>
    <row r="9" spans="1:8" s="67" customFormat="1" ht="20.100000000000001" customHeight="1" x14ac:dyDescent="0.3">
      <c r="A9" s="171"/>
      <c r="B9" s="168" t="s">
        <v>8</v>
      </c>
      <c r="C9" s="77" t="s">
        <v>320</v>
      </c>
      <c r="D9" s="68">
        <f>집계표!I15</f>
        <v>23696</v>
      </c>
      <c r="E9" s="62"/>
      <c r="F9" s="62"/>
    </row>
    <row r="10" spans="1:8" s="67" customFormat="1" ht="20.100000000000001" customHeight="1" x14ac:dyDescent="0.3">
      <c r="A10" s="171"/>
      <c r="B10" s="168"/>
      <c r="C10" s="77" t="s">
        <v>687</v>
      </c>
      <c r="D10" s="68">
        <f>INT(D8*0.87%)</f>
        <v>370287</v>
      </c>
      <c r="E10" s="62" t="s">
        <v>688</v>
      </c>
      <c r="F10" s="62" t="s">
        <v>689</v>
      </c>
    </row>
    <row r="11" spans="1:8" s="67" customFormat="1" ht="20.100000000000001" customHeight="1" x14ac:dyDescent="0.3">
      <c r="A11" s="171"/>
      <c r="B11" s="168"/>
      <c r="C11" s="77" t="s">
        <v>690</v>
      </c>
      <c r="D11" s="68">
        <f>INT(D8*3.7%)</f>
        <v>1574783</v>
      </c>
      <c r="E11" s="62" t="s">
        <v>711</v>
      </c>
      <c r="F11" s="62" t="s">
        <v>689</v>
      </c>
    </row>
    <row r="12" spans="1:8" s="67" customFormat="1" ht="20.100000000000001" customHeight="1" x14ac:dyDescent="0.3">
      <c r="A12" s="171"/>
      <c r="B12" s="168"/>
      <c r="C12" s="77" t="s">
        <v>691</v>
      </c>
      <c r="D12" s="68">
        <f>INT(D5*3.43%)</f>
        <v>998744</v>
      </c>
      <c r="E12" s="62" t="s">
        <v>712</v>
      </c>
      <c r="F12" s="162" t="s">
        <v>729</v>
      </c>
    </row>
    <row r="13" spans="1:8" s="67" customFormat="1" ht="19.5" customHeight="1" x14ac:dyDescent="0.3">
      <c r="A13" s="171"/>
      <c r="B13" s="168"/>
      <c r="C13" s="77" t="s">
        <v>692</v>
      </c>
      <c r="D13" s="68">
        <f>INT(D5*4.5%)</f>
        <v>1310306</v>
      </c>
      <c r="E13" s="62" t="s">
        <v>693</v>
      </c>
      <c r="F13" s="162" t="s">
        <v>729</v>
      </c>
    </row>
    <row r="14" spans="1:8" s="67" customFormat="1" ht="20.100000000000001" customHeight="1" x14ac:dyDescent="0.3">
      <c r="A14" s="171"/>
      <c r="B14" s="168"/>
      <c r="C14" s="188" t="s">
        <v>694</v>
      </c>
      <c r="D14" s="189">
        <f>INT(D5*2.3%)</f>
        <v>669712</v>
      </c>
      <c r="E14" s="190" t="s">
        <v>695</v>
      </c>
      <c r="F14" s="190" t="s">
        <v>713</v>
      </c>
    </row>
    <row r="15" spans="1:8" s="67" customFormat="1" ht="20.100000000000001" customHeight="1" x14ac:dyDescent="0.3">
      <c r="A15" s="171"/>
      <c r="B15" s="168"/>
      <c r="C15" s="77" t="s">
        <v>696</v>
      </c>
      <c r="D15" s="68">
        <f>INT(D12*11.52%)</f>
        <v>115055</v>
      </c>
      <c r="E15" s="62" t="s">
        <v>714</v>
      </c>
      <c r="F15" s="162" t="s">
        <v>699</v>
      </c>
    </row>
    <row r="16" spans="1:8" s="67" customFormat="1" ht="20.100000000000001" customHeight="1" x14ac:dyDescent="0.3">
      <c r="A16" s="171"/>
      <c r="B16" s="168"/>
      <c r="C16" s="77" t="s">
        <v>697</v>
      </c>
      <c r="D16" s="68">
        <f>INT(SUM(D4,D5)*2.93%)</f>
        <v>1706310</v>
      </c>
      <c r="E16" s="162" t="s">
        <v>698</v>
      </c>
      <c r="F16" s="62" t="s">
        <v>730</v>
      </c>
    </row>
    <row r="17" spans="1:6" s="67" customFormat="1" ht="20.100000000000001" customHeight="1" x14ac:dyDescent="0.3">
      <c r="A17" s="171"/>
      <c r="B17" s="168"/>
      <c r="C17" s="69" t="s">
        <v>270</v>
      </c>
      <c r="D17" s="70">
        <f>INT(SUM(D9:D16))</f>
        <v>6768893</v>
      </c>
      <c r="E17" s="62"/>
      <c r="F17" s="62"/>
    </row>
    <row r="18" spans="1:6" s="67" customFormat="1" ht="20.100000000000001" customHeight="1" x14ac:dyDescent="0.3">
      <c r="A18" s="166" t="s">
        <v>312</v>
      </c>
      <c r="B18" s="166"/>
      <c r="C18" s="166"/>
      <c r="D18" s="68">
        <f>SUM(D17,D8,D5)</f>
        <v>78448543</v>
      </c>
      <c r="E18" s="62"/>
      <c r="F18" s="62"/>
    </row>
    <row r="19" spans="1:6" s="67" customFormat="1" ht="20.100000000000001" customHeight="1" x14ac:dyDescent="0.3">
      <c r="A19" s="166" t="s">
        <v>309</v>
      </c>
      <c r="B19" s="166"/>
      <c r="C19" s="166"/>
      <c r="D19" s="68">
        <f>INT(SUM(D18)*6%)</f>
        <v>4706912</v>
      </c>
      <c r="E19" s="62" t="s">
        <v>669</v>
      </c>
      <c r="F19" s="62"/>
    </row>
    <row r="20" spans="1:6" s="67" customFormat="1" ht="20.100000000000001" customHeight="1" x14ac:dyDescent="0.3">
      <c r="A20" s="166" t="s">
        <v>310</v>
      </c>
      <c r="B20" s="166"/>
      <c r="C20" s="166"/>
      <c r="D20" s="68">
        <f>INT((SUM(D8,D17,D19))*15%)</f>
        <v>8105629</v>
      </c>
      <c r="E20" s="62" t="s">
        <v>670</v>
      </c>
      <c r="F20" s="62"/>
    </row>
    <row r="21" spans="1:6" s="67" customFormat="1" ht="20.100000000000001" customHeight="1" x14ac:dyDescent="0.3">
      <c r="A21" s="167" t="s">
        <v>308</v>
      </c>
      <c r="B21" s="167"/>
      <c r="C21" s="167"/>
      <c r="D21" s="70">
        <f>ROUNDDOWN(SUM(D18:D20),-4)</f>
        <v>91260000</v>
      </c>
      <c r="E21" s="62" t="s">
        <v>700</v>
      </c>
      <c r="F21" s="62"/>
    </row>
    <row r="22" spans="1:6" s="67" customFormat="1" ht="20.100000000000001" customHeight="1" x14ac:dyDescent="0.3">
      <c r="A22" s="166" t="s">
        <v>715</v>
      </c>
      <c r="B22" s="166"/>
      <c r="C22" s="166"/>
      <c r="D22" s="70">
        <f>+D21*0.9</f>
        <v>82134000</v>
      </c>
      <c r="E22" s="62"/>
      <c r="F22" s="160" t="s">
        <v>731</v>
      </c>
    </row>
  </sheetData>
  <mergeCells count="11">
    <mergeCell ref="A1:F1"/>
    <mergeCell ref="A3:C3"/>
    <mergeCell ref="A4:A17"/>
    <mergeCell ref="B4:B5"/>
    <mergeCell ref="B6:B8"/>
    <mergeCell ref="B9:B17"/>
    <mergeCell ref="A18:C18"/>
    <mergeCell ref="A19:C19"/>
    <mergeCell ref="A20:C20"/>
    <mergeCell ref="A21:C21"/>
    <mergeCell ref="A22:C2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pane ySplit="4" topLeftCell="A5" activePane="bottomLeft" state="frozen"/>
      <selection activeCell="H28" sqref="H28"/>
      <selection pane="bottomLeft" activeCell="A3" sqref="A3:A4"/>
    </sheetView>
  </sheetViews>
  <sheetFormatPr defaultRowHeight="16.5" x14ac:dyDescent="0.3"/>
  <cols>
    <col min="1" max="1" width="21.625" style="1" customWidth="1"/>
    <col min="2" max="2" width="4.625" style="1" customWidth="1"/>
    <col min="3" max="3" width="4.5" style="1" customWidth="1"/>
    <col min="4" max="4" width="8.875" style="1" customWidth="1"/>
    <col min="5" max="5" width="12.375" style="1" customWidth="1"/>
    <col min="6" max="6" width="10.125" style="1" customWidth="1"/>
    <col min="7" max="7" width="12.5" style="1" customWidth="1"/>
    <col min="8" max="8" width="9.25" style="1" customWidth="1"/>
    <col min="9" max="9" width="11.125" style="1" customWidth="1"/>
    <col min="10" max="10" width="8.75" style="1" customWidth="1"/>
    <col min="11" max="11" width="13.5" style="1" customWidth="1"/>
    <col min="12" max="12" width="6.5" style="1" customWidth="1"/>
    <col min="13" max="16384" width="9" style="1"/>
  </cols>
  <sheetData>
    <row r="1" spans="1:12" ht="27.75" customHeight="1" x14ac:dyDescent="0.3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x14ac:dyDescent="0.3">
      <c r="A2" s="176" t="str">
        <f>표지!B6</f>
        <v>공사명  :  OOO주식회사 흡수에의한시설 OOOCMM 설치공사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20.100000000000001" customHeight="1" x14ac:dyDescent="0.3">
      <c r="A3" s="172" t="s">
        <v>10</v>
      </c>
      <c r="B3" s="172" t="s">
        <v>12</v>
      </c>
      <c r="C3" s="172" t="s">
        <v>13</v>
      </c>
      <c r="D3" s="172" t="s">
        <v>14</v>
      </c>
      <c r="E3" s="172"/>
      <c r="F3" s="172" t="s">
        <v>15</v>
      </c>
      <c r="G3" s="172"/>
      <c r="H3" s="172" t="s">
        <v>16</v>
      </c>
      <c r="I3" s="172"/>
      <c r="J3" s="172" t="s">
        <v>17</v>
      </c>
      <c r="K3" s="172"/>
      <c r="L3" s="172" t="s">
        <v>18</v>
      </c>
    </row>
    <row r="4" spans="1:12" ht="20.100000000000001" customHeight="1" x14ac:dyDescent="0.3">
      <c r="A4" s="172"/>
      <c r="B4" s="172"/>
      <c r="C4" s="172"/>
      <c r="D4" s="26" t="s">
        <v>19</v>
      </c>
      <c r="E4" s="26" t="s">
        <v>20</v>
      </c>
      <c r="F4" s="26" t="s">
        <v>19</v>
      </c>
      <c r="G4" s="26" t="s">
        <v>20</v>
      </c>
      <c r="H4" s="26" t="s">
        <v>19</v>
      </c>
      <c r="I4" s="26" t="s">
        <v>20</v>
      </c>
      <c r="J4" s="26" t="s">
        <v>19</v>
      </c>
      <c r="K4" s="26" t="s">
        <v>20</v>
      </c>
      <c r="L4" s="172"/>
    </row>
    <row r="5" spans="1:12" ht="24.95" customHeight="1" x14ac:dyDescent="0.3">
      <c r="A5" s="28" t="s">
        <v>426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24.95" customHeight="1" x14ac:dyDescent="0.3">
      <c r="A6" s="22" t="s">
        <v>543</v>
      </c>
      <c r="B6" s="27" t="s">
        <v>259</v>
      </c>
      <c r="C6" s="27">
        <v>1</v>
      </c>
      <c r="D6" s="32"/>
      <c r="E6" s="32">
        <f>내역서!F29</f>
        <v>8232527</v>
      </c>
      <c r="F6" s="32"/>
      <c r="G6" s="32">
        <f>내역서!H29</f>
        <v>32904136</v>
      </c>
      <c r="H6" s="32"/>
      <c r="I6" s="32">
        <f>내역서!J29</f>
        <v>0</v>
      </c>
      <c r="J6" s="32"/>
      <c r="K6" s="32">
        <f>내역서!L29</f>
        <v>41136663</v>
      </c>
      <c r="L6" s="27"/>
    </row>
    <row r="7" spans="1:12" ht="24.95" customHeight="1" x14ac:dyDescent="0.3">
      <c r="A7" s="74" t="s">
        <v>439</v>
      </c>
      <c r="B7" s="27" t="s">
        <v>259</v>
      </c>
      <c r="C7" s="27">
        <v>1</v>
      </c>
      <c r="D7" s="32"/>
      <c r="E7" s="32">
        <f>내역서!F45</f>
        <v>15660795</v>
      </c>
      <c r="F7" s="32"/>
      <c r="G7" s="32">
        <f>내역서!H45</f>
        <v>2091419</v>
      </c>
      <c r="H7" s="32"/>
      <c r="I7" s="32">
        <f>내역서!J45</f>
        <v>23696</v>
      </c>
      <c r="J7" s="32"/>
      <c r="K7" s="32">
        <f>내역서!L45</f>
        <v>17775910</v>
      </c>
      <c r="L7" s="27"/>
    </row>
    <row r="8" spans="1:12" ht="24.95" customHeight="1" x14ac:dyDescent="0.3">
      <c r="A8" s="100" t="s">
        <v>477</v>
      </c>
      <c r="B8" s="27" t="s">
        <v>259</v>
      </c>
      <c r="C8" s="27">
        <v>1</v>
      </c>
      <c r="D8" s="32"/>
      <c r="E8" s="32">
        <f>내역서!F50</f>
        <v>111725</v>
      </c>
      <c r="F8" s="32"/>
      <c r="G8" s="32">
        <f>내역서!H50</f>
        <v>588819</v>
      </c>
      <c r="H8" s="32"/>
      <c r="I8" s="32">
        <f>내역서!J50</f>
        <v>0</v>
      </c>
      <c r="J8" s="32"/>
      <c r="K8" s="32">
        <f>내역서!L50</f>
        <v>700544</v>
      </c>
      <c r="L8" s="27"/>
    </row>
    <row r="9" spans="1:12" ht="24.95" customHeight="1" x14ac:dyDescent="0.3">
      <c r="A9" s="84" t="s">
        <v>478</v>
      </c>
      <c r="B9" s="74" t="s">
        <v>366</v>
      </c>
      <c r="C9" s="74">
        <v>1</v>
      </c>
      <c r="D9" s="32"/>
      <c r="E9" s="32">
        <f>내역서!F59</f>
        <v>4000000</v>
      </c>
      <c r="F9" s="32"/>
      <c r="G9" s="32">
        <f>내역서!H59</f>
        <v>0</v>
      </c>
      <c r="H9" s="32"/>
      <c r="I9" s="32">
        <f>내역서!J59</f>
        <v>0</v>
      </c>
      <c r="J9" s="32"/>
      <c r="K9" s="32">
        <f>내역서!L59</f>
        <v>4000000</v>
      </c>
      <c r="L9" s="74"/>
    </row>
    <row r="10" spans="1:12" ht="24.95" customHeight="1" x14ac:dyDescent="0.3">
      <c r="A10" s="28" t="s">
        <v>480</v>
      </c>
      <c r="B10" s="28"/>
      <c r="C10" s="28"/>
      <c r="D10" s="33"/>
      <c r="E10" s="33">
        <f>SUM(E6:E9)</f>
        <v>28005047</v>
      </c>
      <c r="F10" s="33"/>
      <c r="G10" s="33">
        <f>SUM(G6:G9)</f>
        <v>35584374</v>
      </c>
      <c r="H10" s="33"/>
      <c r="I10" s="33">
        <f>SUM(I6:I9)</f>
        <v>23696</v>
      </c>
      <c r="J10" s="33"/>
      <c r="K10" s="33">
        <f>E10+G10+I10</f>
        <v>63613117</v>
      </c>
      <c r="L10" s="27"/>
    </row>
    <row r="11" spans="1:12" ht="24.95" customHeight="1" x14ac:dyDescent="0.3">
      <c r="A11" s="97"/>
      <c r="B11" s="97"/>
      <c r="C11" s="97"/>
      <c r="D11" s="70"/>
      <c r="E11" s="70"/>
      <c r="F11" s="70"/>
      <c r="G11" s="70"/>
      <c r="H11" s="70"/>
      <c r="I11" s="70"/>
      <c r="J11" s="70"/>
      <c r="K11" s="70"/>
      <c r="L11" s="62"/>
    </row>
    <row r="12" spans="1:12" ht="24.95" customHeight="1" x14ac:dyDescent="0.3">
      <c r="A12" s="28" t="s">
        <v>479</v>
      </c>
      <c r="B12" s="27"/>
      <c r="C12" s="27"/>
      <c r="D12" s="32"/>
      <c r="E12" s="32"/>
      <c r="F12" s="32"/>
      <c r="G12" s="32"/>
      <c r="H12" s="32"/>
      <c r="I12" s="32"/>
      <c r="J12" s="32"/>
      <c r="K12" s="32"/>
      <c r="L12" s="27"/>
    </row>
    <row r="13" spans="1:12" ht="24.95" customHeight="1" x14ac:dyDescent="0.3">
      <c r="A13" s="105" t="s">
        <v>534</v>
      </c>
      <c r="B13" s="27" t="s">
        <v>266</v>
      </c>
      <c r="C13" s="27">
        <v>1</v>
      </c>
      <c r="D13" s="32"/>
      <c r="E13" s="32">
        <f>내역서!F76</f>
        <v>1112875</v>
      </c>
      <c r="F13" s="32"/>
      <c r="G13" s="32">
        <f>내역서!H76</f>
        <v>3824634</v>
      </c>
      <c r="H13" s="32"/>
      <c r="I13" s="32">
        <f>내역서!J76</f>
        <v>0</v>
      </c>
      <c r="J13" s="32"/>
      <c r="K13" s="32"/>
      <c r="L13" s="27"/>
    </row>
    <row r="14" spans="1:12" ht="24.95" customHeight="1" x14ac:dyDescent="0.3">
      <c r="A14" s="28" t="s">
        <v>480</v>
      </c>
      <c r="B14" s="28"/>
      <c r="C14" s="28"/>
      <c r="D14" s="33"/>
      <c r="E14" s="33">
        <f>SUM(E12:E13)</f>
        <v>1112875</v>
      </c>
      <c r="F14" s="33"/>
      <c r="G14" s="33">
        <f>SUM(G12:G13)</f>
        <v>3824634</v>
      </c>
      <c r="H14" s="33"/>
      <c r="I14" s="33">
        <f>SUM(I12:I13)</f>
        <v>0</v>
      </c>
      <c r="J14" s="33"/>
      <c r="K14" s="33">
        <f>내역서!L76</f>
        <v>4937509</v>
      </c>
      <c r="L14" s="27"/>
    </row>
    <row r="15" spans="1:12" ht="24.95" customHeight="1" x14ac:dyDescent="0.3">
      <c r="A15" s="28" t="s">
        <v>21</v>
      </c>
      <c r="B15" s="28"/>
      <c r="C15" s="28"/>
      <c r="D15" s="33"/>
      <c r="E15" s="33">
        <f>SUM(E10,E14)</f>
        <v>29117922</v>
      </c>
      <c r="F15" s="33"/>
      <c r="G15" s="33">
        <f>SUM(G10,G14)</f>
        <v>39409008</v>
      </c>
      <c r="H15" s="33"/>
      <c r="I15" s="33">
        <f>SUM(I10,I14)</f>
        <v>23696</v>
      </c>
      <c r="J15" s="33"/>
      <c r="K15" s="33">
        <f>SUM(K10,K14)</f>
        <v>68550626</v>
      </c>
      <c r="L15" s="28"/>
    </row>
  </sheetData>
  <mergeCells count="10">
    <mergeCell ref="L3:L4"/>
    <mergeCell ref="A1:L1"/>
    <mergeCell ref="A2:L2"/>
    <mergeCell ref="A3:A4"/>
    <mergeCell ref="B3:B4"/>
    <mergeCell ref="C3:C4"/>
    <mergeCell ref="D3:E3"/>
    <mergeCell ref="F3:G3"/>
    <mergeCell ref="H3:I3"/>
    <mergeCell ref="J3:K3"/>
  </mergeCells>
  <phoneticPr fontId="1" type="noConversion"/>
  <pageMargins left="0.70866141732283472" right="0.59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"/>
  <sheetViews>
    <sheetView workbookViewId="0">
      <pane ySplit="3" topLeftCell="A57" activePane="bottomLeft" state="frozen"/>
      <selection activeCell="H28" sqref="H28"/>
      <selection pane="bottomLeft" activeCell="G70" sqref="G70"/>
    </sheetView>
  </sheetViews>
  <sheetFormatPr defaultRowHeight="16.5" x14ac:dyDescent="0.3"/>
  <cols>
    <col min="1" max="1" width="13.75" style="1" customWidth="1"/>
    <col min="2" max="2" width="11.625" style="1" customWidth="1"/>
    <col min="3" max="3" width="5.25" style="1" customWidth="1"/>
    <col min="4" max="4" width="6.25" style="1" customWidth="1"/>
    <col min="5" max="5" width="11" style="1" customWidth="1"/>
    <col min="6" max="6" width="12.375" style="1" customWidth="1"/>
    <col min="7" max="7" width="10.625" style="1" customWidth="1"/>
    <col min="8" max="8" width="12.375" style="1" customWidth="1"/>
    <col min="9" max="9" width="8.375" style="1" customWidth="1"/>
    <col min="10" max="10" width="8.875" style="1" customWidth="1"/>
    <col min="11" max="11" width="6.875" style="1" customWidth="1"/>
    <col min="12" max="12" width="12.25" style="1" customWidth="1"/>
    <col min="13" max="13" width="8" style="1" customWidth="1"/>
    <col min="14" max="14" width="5.25" style="1" customWidth="1"/>
    <col min="15" max="16384" width="9" style="1"/>
  </cols>
  <sheetData>
    <row r="1" spans="1:15" ht="20.25" x14ac:dyDescent="0.3">
      <c r="A1" s="173" t="s">
        <v>47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5" x14ac:dyDescent="0.3">
      <c r="A2" s="172" t="s">
        <v>22</v>
      </c>
      <c r="B2" s="172" t="s">
        <v>11</v>
      </c>
      <c r="C2" s="172" t="s">
        <v>12</v>
      </c>
      <c r="D2" s="172" t="s">
        <v>13</v>
      </c>
      <c r="E2" s="172" t="s">
        <v>14</v>
      </c>
      <c r="F2" s="172"/>
      <c r="G2" s="172" t="s">
        <v>15</v>
      </c>
      <c r="H2" s="172"/>
      <c r="I2" s="172" t="s">
        <v>16</v>
      </c>
      <c r="J2" s="172"/>
      <c r="K2" s="172" t="s">
        <v>17</v>
      </c>
      <c r="L2" s="172"/>
      <c r="M2" s="172" t="s">
        <v>18</v>
      </c>
    </row>
    <row r="3" spans="1:15" x14ac:dyDescent="0.3">
      <c r="A3" s="172"/>
      <c r="B3" s="172"/>
      <c r="C3" s="172"/>
      <c r="D3" s="172"/>
      <c r="E3" s="26" t="s">
        <v>19</v>
      </c>
      <c r="F3" s="26" t="s">
        <v>20</v>
      </c>
      <c r="G3" s="26" t="s">
        <v>19</v>
      </c>
      <c r="H3" s="26" t="s">
        <v>20</v>
      </c>
      <c r="I3" s="26" t="s">
        <v>19</v>
      </c>
      <c r="J3" s="26" t="s">
        <v>20</v>
      </c>
      <c r="K3" s="26" t="s">
        <v>19</v>
      </c>
      <c r="L3" s="26" t="s">
        <v>20</v>
      </c>
      <c r="M3" s="172"/>
    </row>
    <row r="4" spans="1:15" ht="24.95" customHeight="1" x14ac:dyDescent="0.3">
      <c r="A4" s="101" t="str">
        <f>집계표!A5</f>
        <v xml:space="preserve"> 1  기계공사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5" ht="24.95" customHeight="1" x14ac:dyDescent="0.3">
      <c r="A5" s="129" t="s">
        <v>553</v>
      </c>
      <c r="B5" s="27"/>
      <c r="C5" s="27"/>
      <c r="D5" s="27"/>
      <c r="E5" s="32"/>
      <c r="F5" s="32"/>
      <c r="G5" s="32"/>
      <c r="H5" s="32"/>
      <c r="I5" s="32"/>
      <c r="J5" s="32"/>
      <c r="K5" s="32"/>
      <c r="L5" s="32"/>
      <c r="M5" s="27"/>
    </row>
    <row r="6" spans="1:15" ht="24.95" customHeight="1" x14ac:dyDescent="0.3">
      <c r="A6" s="74" t="s">
        <v>427</v>
      </c>
      <c r="B6" s="74" t="s">
        <v>428</v>
      </c>
      <c r="C6" s="74" t="s">
        <v>31</v>
      </c>
      <c r="D6" s="93">
        <f>물량산출표!I10</f>
        <v>8.2940000000000005</v>
      </c>
      <c r="E6" s="32">
        <f>단가조사표!J5</f>
        <v>54600</v>
      </c>
      <c r="F6" s="32">
        <f t="shared" ref="F6:F28" si="0">INT(D6*E6)</f>
        <v>452852</v>
      </c>
      <c r="G6" s="32"/>
      <c r="H6" s="32"/>
      <c r="I6" s="32"/>
      <c r="J6" s="32"/>
      <c r="K6" s="32"/>
      <c r="L6" s="32">
        <f t="shared" ref="L6:L12" si="1">F6+H6+J6</f>
        <v>452852</v>
      </c>
      <c r="M6" s="74"/>
      <c r="N6" s="23" t="s">
        <v>302</v>
      </c>
      <c r="O6" s="1" t="s">
        <v>662</v>
      </c>
    </row>
    <row r="7" spans="1:15" ht="24.95" customHeight="1" x14ac:dyDescent="0.3">
      <c r="A7" s="74" t="s">
        <v>434</v>
      </c>
      <c r="B7" s="74" t="s">
        <v>428</v>
      </c>
      <c r="C7" s="74" t="s">
        <v>31</v>
      </c>
      <c r="D7" s="93">
        <f>물량산출표!I10</f>
        <v>8.2940000000000005</v>
      </c>
      <c r="E7" s="32">
        <f>일위대가목록!E7</f>
        <v>2964</v>
      </c>
      <c r="F7" s="32">
        <f t="shared" si="0"/>
        <v>24583</v>
      </c>
      <c r="G7" s="32">
        <f>일위대가목록!F7</f>
        <v>416811</v>
      </c>
      <c r="H7" s="32">
        <f>INT(D7*G7)</f>
        <v>3457030</v>
      </c>
      <c r="I7" s="32">
        <f>일위대가목록!G7</f>
        <v>0</v>
      </c>
      <c r="J7" s="32">
        <f>INT(D7*I7)</f>
        <v>0</v>
      </c>
      <c r="K7" s="32"/>
      <c r="L7" s="32">
        <f t="shared" si="1"/>
        <v>3481613</v>
      </c>
      <c r="M7" s="74" t="s">
        <v>433</v>
      </c>
      <c r="N7" s="23" t="s">
        <v>303</v>
      </c>
      <c r="O7" s="1" t="s">
        <v>663</v>
      </c>
    </row>
    <row r="8" spans="1:15" ht="24.95" customHeight="1" x14ac:dyDescent="0.3">
      <c r="A8" s="74" t="s">
        <v>427</v>
      </c>
      <c r="B8" s="74" t="s">
        <v>429</v>
      </c>
      <c r="C8" s="74" t="s">
        <v>31</v>
      </c>
      <c r="D8" s="93">
        <f>물량산출표!I21</f>
        <v>64.394000000000005</v>
      </c>
      <c r="E8" s="32">
        <f>단가조사표!J6</f>
        <v>32750</v>
      </c>
      <c r="F8" s="32">
        <f t="shared" si="0"/>
        <v>2108903</v>
      </c>
      <c r="G8" s="32"/>
      <c r="H8" s="32"/>
      <c r="I8" s="32"/>
      <c r="J8" s="32"/>
      <c r="K8" s="32"/>
      <c r="L8" s="32">
        <f t="shared" si="1"/>
        <v>2108903</v>
      </c>
      <c r="M8" s="74"/>
      <c r="N8" s="23" t="s">
        <v>664</v>
      </c>
      <c r="O8" s="1" t="s">
        <v>660</v>
      </c>
    </row>
    <row r="9" spans="1:15" ht="24.95" customHeight="1" x14ac:dyDescent="0.3">
      <c r="A9" s="74" t="s">
        <v>434</v>
      </c>
      <c r="B9" s="74" t="s">
        <v>429</v>
      </c>
      <c r="C9" s="74" t="s">
        <v>31</v>
      </c>
      <c r="D9" s="93">
        <f>물량산출표!I21</f>
        <v>64.394000000000005</v>
      </c>
      <c r="E9" s="32">
        <f>일위대가목록!E6</f>
        <v>1368</v>
      </c>
      <c r="F9" s="32">
        <f t="shared" si="0"/>
        <v>88090</v>
      </c>
      <c r="G9" s="32">
        <f>일위대가목록!F6</f>
        <v>239794</v>
      </c>
      <c r="H9" s="32">
        <f>INT(D9*G9)</f>
        <v>15441294</v>
      </c>
      <c r="I9" s="32">
        <f>일위대가목록!G6</f>
        <v>0</v>
      </c>
      <c r="J9" s="32">
        <f>INT(D9*I9)</f>
        <v>0</v>
      </c>
      <c r="K9" s="32"/>
      <c r="L9" s="32">
        <f t="shared" si="1"/>
        <v>15529384</v>
      </c>
      <c r="M9" s="74" t="s">
        <v>432</v>
      </c>
      <c r="N9" s="67" t="s">
        <v>665</v>
      </c>
      <c r="O9" s="1" t="s">
        <v>666</v>
      </c>
    </row>
    <row r="10" spans="1:15" ht="24.95" customHeight="1" x14ac:dyDescent="0.3">
      <c r="A10" s="74" t="s">
        <v>427</v>
      </c>
      <c r="B10" s="74" t="s">
        <v>430</v>
      </c>
      <c r="C10" s="74" t="s">
        <v>31</v>
      </c>
      <c r="D10" s="93">
        <f>물량산출표!I28</f>
        <v>12.83315</v>
      </c>
      <c r="E10" s="32">
        <f>단가조사표!J7</f>
        <v>27300</v>
      </c>
      <c r="F10" s="32">
        <f t="shared" si="0"/>
        <v>350344</v>
      </c>
      <c r="G10" s="32"/>
      <c r="H10" s="32"/>
      <c r="I10" s="32"/>
      <c r="J10" s="32"/>
      <c r="K10" s="32"/>
      <c r="L10" s="32">
        <f t="shared" si="1"/>
        <v>350344</v>
      </c>
      <c r="M10" s="74"/>
      <c r="N10" s="23" t="s">
        <v>667</v>
      </c>
      <c r="O10" s="1" t="s">
        <v>668</v>
      </c>
    </row>
    <row r="11" spans="1:15" ht="24.95" customHeight="1" x14ac:dyDescent="0.3">
      <c r="A11" s="74" t="s">
        <v>434</v>
      </c>
      <c r="B11" s="74" t="s">
        <v>430</v>
      </c>
      <c r="C11" s="74" t="s">
        <v>31</v>
      </c>
      <c r="D11" s="93">
        <f>물량산출표!I28</f>
        <v>12.83315</v>
      </c>
      <c r="E11" s="32">
        <f>일위대가목록!E5</f>
        <v>1368</v>
      </c>
      <c r="F11" s="32">
        <f t="shared" si="0"/>
        <v>17555</v>
      </c>
      <c r="G11" s="32">
        <f>일위대가목록!F5</f>
        <v>188943</v>
      </c>
      <c r="H11" s="32">
        <f t="shared" ref="H11:H12" si="2">INT(D11*G11)</f>
        <v>2424733</v>
      </c>
      <c r="I11" s="32">
        <f>일위대가목록!G5</f>
        <v>0</v>
      </c>
      <c r="J11" s="32">
        <f>INT(D11*I11)</f>
        <v>0</v>
      </c>
      <c r="K11" s="32"/>
      <c r="L11" s="32">
        <f t="shared" si="1"/>
        <v>2442288</v>
      </c>
      <c r="M11" s="74" t="s">
        <v>431</v>
      </c>
      <c r="N11" s="23"/>
    </row>
    <row r="12" spans="1:15" ht="24.95" customHeight="1" x14ac:dyDescent="0.3">
      <c r="A12" s="74" t="s">
        <v>435</v>
      </c>
      <c r="B12" s="74" t="s">
        <v>436</v>
      </c>
      <c r="C12" s="74" t="s">
        <v>31</v>
      </c>
      <c r="D12" s="74">
        <f>물량산출표!I31</f>
        <v>57.79</v>
      </c>
      <c r="E12" s="32">
        <f>일위대가목록!E9</f>
        <v>45322</v>
      </c>
      <c r="F12" s="32">
        <f t="shared" si="0"/>
        <v>2619158</v>
      </c>
      <c r="G12" s="32">
        <f>일위대가목록!F9</f>
        <v>178578</v>
      </c>
      <c r="H12" s="32">
        <f t="shared" si="2"/>
        <v>10320022</v>
      </c>
      <c r="I12" s="32">
        <f>일위대가목록!G9</f>
        <v>0</v>
      </c>
      <c r="J12" s="32">
        <f>INT(D12*I12)</f>
        <v>0</v>
      </c>
      <c r="K12" s="32"/>
      <c r="L12" s="32">
        <f t="shared" si="1"/>
        <v>12939180</v>
      </c>
      <c r="M12" s="74" t="s">
        <v>444</v>
      </c>
      <c r="N12" s="23"/>
    </row>
    <row r="13" spans="1:15" ht="24.95" customHeight="1" x14ac:dyDescent="0.3">
      <c r="A13" s="74" t="str">
        <f>물량산출표!A33</f>
        <v>PVC PIPE</v>
      </c>
      <c r="B13" s="74" t="s">
        <v>440</v>
      </c>
      <c r="C13" s="74" t="s">
        <v>443</v>
      </c>
      <c r="D13" s="74">
        <f>물량산출표!I33</f>
        <v>14.4</v>
      </c>
      <c r="E13" s="32">
        <f>단가조사표!J8</f>
        <v>27552</v>
      </c>
      <c r="F13" s="32">
        <f t="shared" si="0"/>
        <v>396748</v>
      </c>
      <c r="G13" s="32"/>
      <c r="H13" s="32"/>
      <c r="I13" s="32"/>
      <c r="J13" s="32"/>
      <c r="K13" s="32"/>
      <c r="L13" s="32"/>
      <c r="M13" s="74"/>
      <c r="N13" s="23"/>
    </row>
    <row r="14" spans="1:15" ht="24.95" customHeight="1" x14ac:dyDescent="0.3">
      <c r="A14" s="74" t="str">
        <f>물량산출표!A34</f>
        <v>PVC PIPE</v>
      </c>
      <c r="B14" s="74" t="s">
        <v>441</v>
      </c>
      <c r="C14" s="74" t="s">
        <v>443</v>
      </c>
      <c r="D14" s="74">
        <f>물량산출표!I34</f>
        <v>5.68</v>
      </c>
      <c r="E14" s="32">
        <f>단가조사표!J9</f>
        <v>3882</v>
      </c>
      <c r="F14" s="32">
        <f t="shared" si="0"/>
        <v>22049</v>
      </c>
      <c r="G14" s="32"/>
      <c r="H14" s="32"/>
      <c r="I14" s="32"/>
      <c r="J14" s="32"/>
      <c r="K14" s="32"/>
      <c r="L14" s="32"/>
      <c r="M14" s="74"/>
      <c r="N14" s="23"/>
    </row>
    <row r="15" spans="1:15" ht="24.95" customHeight="1" x14ac:dyDescent="0.3">
      <c r="A15" s="74" t="str">
        <f>물량산출표!A35</f>
        <v>PVC PIPE</v>
      </c>
      <c r="B15" s="74" t="s">
        <v>442</v>
      </c>
      <c r="C15" s="74" t="s">
        <v>443</v>
      </c>
      <c r="D15" s="74">
        <f>물량산출표!I35</f>
        <v>14.8</v>
      </c>
      <c r="E15" s="32">
        <f>단가조사표!J10</f>
        <v>1455</v>
      </c>
      <c r="F15" s="32">
        <f t="shared" si="0"/>
        <v>21534</v>
      </c>
      <c r="G15" s="32"/>
      <c r="H15" s="32"/>
      <c r="I15" s="32"/>
      <c r="J15" s="32"/>
      <c r="K15" s="32"/>
      <c r="L15" s="32"/>
      <c r="M15" s="74"/>
      <c r="N15" s="23"/>
    </row>
    <row r="16" spans="1:15" ht="24.95" customHeight="1" x14ac:dyDescent="0.3">
      <c r="A16" s="74" t="str">
        <f>물량산출표!A38</f>
        <v>ㅁ PIPE(100X100)</v>
      </c>
      <c r="B16" s="74"/>
      <c r="C16" s="74" t="s">
        <v>443</v>
      </c>
      <c r="D16" s="74">
        <f>물량산출표!I38</f>
        <v>40.5</v>
      </c>
      <c r="E16" s="32">
        <f>단가조사표!J11</f>
        <v>5488</v>
      </c>
      <c r="F16" s="32">
        <f t="shared" si="0"/>
        <v>222264</v>
      </c>
      <c r="G16" s="32"/>
      <c r="H16" s="32"/>
      <c r="I16" s="32"/>
      <c r="J16" s="32"/>
      <c r="K16" s="32"/>
      <c r="L16" s="32"/>
      <c r="M16" s="74"/>
      <c r="N16" s="23"/>
    </row>
    <row r="17" spans="1:14" ht="24.95" customHeight="1" x14ac:dyDescent="0.3">
      <c r="A17" s="74" t="str">
        <f>물량산출표!A39</f>
        <v>앵글(50 x 50 x6t)</v>
      </c>
      <c r="B17" s="74"/>
      <c r="C17" s="74" t="s">
        <v>445</v>
      </c>
      <c r="D17" s="74">
        <f>물량산출표!K39</f>
        <v>26.58</v>
      </c>
      <c r="E17" s="32">
        <f>단가조사표!J12</f>
        <v>760</v>
      </c>
      <c r="F17" s="32">
        <f t="shared" si="0"/>
        <v>20200</v>
      </c>
      <c r="G17" s="32"/>
      <c r="H17" s="32"/>
      <c r="I17" s="32"/>
      <c r="J17" s="32"/>
      <c r="K17" s="32"/>
      <c r="L17" s="32"/>
      <c r="M17" s="74"/>
    </row>
    <row r="18" spans="1:14" ht="24.95" customHeight="1" x14ac:dyDescent="0.3">
      <c r="A18" s="74" t="str">
        <f>물량산출표!A40</f>
        <v>앵글(50 x 50 x6t)</v>
      </c>
      <c r="B18" s="74"/>
      <c r="C18" s="74" t="s">
        <v>445</v>
      </c>
      <c r="D18" s="93">
        <f>물량산출표!K40</f>
        <v>37.566400000000002</v>
      </c>
      <c r="E18" s="32">
        <f>단가조사표!J13</f>
        <v>760</v>
      </c>
      <c r="F18" s="32">
        <f t="shared" si="0"/>
        <v>28550</v>
      </c>
      <c r="G18" s="32"/>
      <c r="H18" s="32"/>
      <c r="I18" s="32"/>
      <c r="J18" s="32"/>
      <c r="K18" s="32"/>
      <c r="L18" s="32"/>
      <c r="M18" s="74"/>
    </row>
    <row r="19" spans="1:14" ht="24.95" customHeight="1" x14ac:dyDescent="0.3">
      <c r="A19" s="74" t="str">
        <f>물량산출표!A41</f>
        <v>익스팬션 메탈</v>
      </c>
      <c r="B19" s="84" t="s">
        <v>469</v>
      </c>
      <c r="C19" s="74" t="s">
        <v>446</v>
      </c>
      <c r="D19" s="74">
        <f>물량산출표!I42</f>
        <v>3</v>
      </c>
      <c r="E19" s="32">
        <f>단가조사표!J14</f>
        <v>31680</v>
      </c>
      <c r="F19" s="32">
        <f t="shared" si="0"/>
        <v>95040</v>
      </c>
      <c r="G19" s="32"/>
      <c r="H19" s="32"/>
      <c r="I19" s="32"/>
      <c r="J19" s="32"/>
      <c r="K19" s="32"/>
      <c r="L19" s="32"/>
      <c r="M19" s="74"/>
    </row>
    <row r="20" spans="1:14" ht="24.95" customHeight="1" x14ac:dyDescent="0.3">
      <c r="A20" s="74" t="str">
        <f>물량산출표!A43</f>
        <v>익스팬션 메탈</v>
      </c>
      <c r="B20" s="84" t="s">
        <v>469</v>
      </c>
      <c r="C20" s="74" t="s">
        <v>446</v>
      </c>
      <c r="D20" s="74">
        <f>물량산출표!I44</f>
        <v>1</v>
      </c>
      <c r="E20" s="32">
        <f>단가조사표!J15</f>
        <v>31680</v>
      </c>
      <c r="F20" s="32">
        <f t="shared" si="0"/>
        <v>31680</v>
      </c>
      <c r="G20" s="32"/>
      <c r="H20" s="32"/>
      <c r="I20" s="32"/>
      <c r="J20" s="32"/>
      <c r="K20" s="32"/>
      <c r="L20" s="32"/>
      <c r="M20" s="74"/>
    </row>
    <row r="21" spans="1:14" ht="24.95" customHeight="1" x14ac:dyDescent="0.3">
      <c r="A21" s="74" t="str">
        <f>물량산출표!A45</f>
        <v>평철(100X6)</v>
      </c>
      <c r="B21" s="74"/>
      <c r="C21" s="74" t="s">
        <v>445</v>
      </c>
      <c r="D21" s="94">
        <f>물량산출표!K45</f>
        <v>58.404000000000003</v>
      </c>
      <c r="E21" s="32">
        <f>단가조사표!J16</f>
        <v>760</v>
      </c>
      <c r="F21" s="32">
        <f t="shared" si="0"/>
        <v>44387</v>
      </c>
      <c r="G21" s="32"/>
      <c r="H21" s="32"/>
      <c r="I21" s="32"/>
      <c r="J21" s="32"/>
      <c r="K21" s="32"/>
      <c r="L21" s="32"/>
      <c r="M21" s="74"/>
    </row>
    <row r="22" spans="1:14" ht="24.95" customHeight="1" x14ac:dyDescent="0.3">
      <c r="A22" s="74" t="str">
        <f>물량산출표!A46</f>
        <v>평철(100X6)</v>
      </c>
      <c r="B22" s="74"/>
      <c r="C22" s="74" t="s">
        <v>445</v>
      </c>
      <c r="D22" s="94">
        <f>물량산출표!K46</f>
        <v>14.5068</v>
      </c>
      <c r="E22" s="32">
        <f>단가조사표!J17</f>
        <v>760</v>
      </c>
      <c r="F22" s="32">
        <f t="shared" si="0"/>
        <v>11025</v>
      </c>
      <c r="G22" s="32"/>
      <c r="H22" s="32"/>
      <c r="I22" s="32"/>
      <c r="J22" s="32"/>
      <c r="K22" s="32"/>
      <c r="L22" s="32"/>
      <c r="M22" s="74"/>
    </row>
    <row r="23" spans="1:14" ht="24.95" customHeight="1" x14ac:dyDescent="0.3">
      <c r="A23" s="74" t="str">
        <f>물량산출표!A47</f>
        <v>평철(38X4.5)</v>
      </c>
      <c r="B23" s="74"/>
      <c r="C23" s="74" t="s">
        <v>445</v>
      </c>
      <c r="D23" s="94">
        <f>물량산출표!K47</f>
        <v>35.890560000000001</v>
      </c>
      <c r="E23" s="32">
        <f>단가조사표!J18</f>
        <v>760</v>
      </c>
      <c r="F23" s="32">
        <f t="shared" si="0"/>
        <v>27276</v>
      </c>
      <c r="G23" s="32"/>
      <c r="H23" s="32"/>
      <c r="I23" s="32"/>
      <c r="J23" s="32"/>
      <c r="K23" s="32"/>
      <c r="L23" s="32"/>
      <c r="M23" s="74"/>
    </row>
    <row r="24" spans="1:14" ht="24.95" customHeight="1" x14ac:dyDescent="0.3">
      <c r="A24" s="74" t="str">
        <f>물량산출표!A48</f>
        <v>PIPE (25A)</v>
      </c>
      <c r="B24" s="74"/>
      <c r="C24" s="74" t="s">
        <v>443</v>
      </c>
      <c r="D24" s="94">
        <f>물량산출표!I48</f>
        <v>60</v>
      </c>
      <c r="E24" s="32">
        <f>단가조사표!J19</f>
        <v>1566</v>
      </c>
      <c r="F24" s="32">
        <f t="shared" si="0"/>
        <v>93960</v>
      </c>
      <c r="G24" s="32"/>
      <c r="H24" s="32"/>
      <c r="I24" s="32"/>
      <c r="J24" s="32"/>
      <c r="K24" s="32"/>
      <c r="L24" s="32"/>
      <c r="M24" s="74"/>
    </row>
    <row r="25" spans="1:14" ht="24.95" customHeight="1" x14ac:dyDescent="0.3">
      <c r="A25" s="74" t="str">
        <f>물량산출표!A49</f>
        <v>PIPE (25A)</v>
      </c>
      <c r="B25" s="74"/>
      <c r="C25" s="74" t="s">
        <v>443</v>
      </c>
      <c r="D25" s="94">
        <f>물량산출표!I49</f>
        <v>10.48</v>
      </c>
      <c r="E25" s="32">
        <f>단가조사표!J20</f>
        <v>1566</v>
      </c>
      <c r="F25" s="32">
        <f t="shared" si="0"/>
        <v>16411</v>
      </c>
      <c r="G25" s="32"/>
      <c r="H25" s="32"/>
      <c r="I25" s="32"/>
      <c r="J25" s="32"/>
      <c r="K25" s="32"/>
      <c r="L25" s="32"/>
      <c r="M25" s="74"/>
    </row>
    <row r="26" spans="1:14" ht="24.95" customHeight="1" x14ac:dyDescent="0.3">
      <c r="A26" s="74" t="str">
        <f>물량산출표!A50</f>
        <v>PIPE (25A)</v>
      </c>
      <c r="B26" s="74"/>
      <c r="C26" s="74" t="s">
        <v>443</v>
      </c>
      <c r="D26" s="94">
        <f>물량산출표!I50</f>
        <v>10.4</v>
      </c>
      <c r="E26" s="32">
        <f>단가조사표!J21</f>
        <v>1566</v>
      </c>
      <c r="F26" s="32">
        <f t="shared" si="0"/>
        <v>16286</v>
      </c>
      <c r="G26" s="32"/>
      <c r="H26" s="32"/>
      <c r="I26" s="32"/>
      <c r="J26" s="32"/>
      <c r="K26" s="32"/>
      <c r="L26" s="32"/>
      <c r="M26" s="74"/>
    </row>
    <row r="27" spans="1:14" ht="24.95" customHeight="1" x14ac:dyDescent="0.3">
      <c r="A27" s="74" t="str">
        <f>일위대가표!B5</f>
        <v>강재류 조립설치 (ton 당)</v>
      </c>
      <c r="B27" s="74"/>
      <c r="C27" s="74" t="s">
        <v>448</v>
      </c>
      <c r="D27" s="94">
        <f>물량산출표!K53/1000</f>
        <v>0.65870981399999984</v>
      </c>
      <c r="E27" s="32"/>
      <c r="F27" s="32"/>
      <c r="G27" s="32">
        <f>일위대가목록!F4</f>
        <v>1401105</v>
      </c>
      <c r="H27" s="32">
        <f t="shared" ref="H27:H28" si="3">INT(D27*G27)</f>
        <v>922921</v>
      </c>
      <c r="I27" s="32"/>
      <c r="J27" s="32"/>
      <c r="K27" s="32"/>
      <c r="L27" s="32">
        <f>F27+H27+J27</f>
        <v>922921</v>
      </c>
      <c r="M27" s="74" t="s">
        <v>449</v>
      </c>
    </row>
    <row r="28" spans="1:14" ht="24.95" customHeight="1" x14ac:dyDescent="0.3">
      <c r="A28" s="62" t="s">
        <v>505</v>
      </c>
      <c r="B28" s="62"/>
      <c r="C28" s="62" t="s">
        <v>506</v>
      </c>
      <c r="D28" s="103">
        <v>8</v>
      </c>
      <c r="E28" s="32">
        <f>일위대가표!G98</f>
        <v>190454</v>
      </c>
      <c r="F28" s="32">
        <f t="shared" si="0"/>
        <v>1523632</v>
      </c>
      <c r="G28" s="32">
        <f>일위대가표!I98</f>
        <v>42267</v>
      </c>
      <c r="H28" s="32">
        <f t="shared" si="3"/>
        <v>338136</v>
      </c>
      <c r="I28" s="32"/>
      <c r="J28" s="32"/>
      <c r="K28" s="68"/>
      <c r="L28" s="32">
        <f>F28+H28+J28</f>
        <v>1861768</v>
      </c>
      <c r="M28" s="62" t="s">
        <v>508</v>
      </c>
    </row>
    <row r="29" spans="1:14" ht="24.95" customHeight="1" x14ac:dyDescent="0.3">
      <c r="A29" s="28" t="s">
        <v>28</v>
      </c>
      <c r="B29" s="28"/>
      <c r="C29" s="28"/>
      <c r="D29" s="28"/>
      <c r="E29" s="33"/>
      <c r="F29" s="33">
        <f>SUM(F6:F28)</f>
        <v>8232527</v>
      </c>
      <c r="G29" s="33"/>
      <c r="H29" s="33">
        <f>SUM(H6:H28)</f>
        <v>32904136</v>
      </c>
      <c r="I29" s="33"/>
      <c r="J29" s="33">
        <f>SUM(J6:J12)</f>
        <v>0</v>
      </c>
      <c r="K29" s="33"/>
      <c r="L29" s="33">
        <f>F29+H29+J29</f>
        <v>41136663</v>
      </c>
      <c r="M29" s="74"/>
    </row>
    <row r="30" spans="1:14" ht="24.95" customHeight="1" x14ac:dyDescent="0.3">
      <c r="A30" s="28"/>
      <c r="B30" s="28"/>
      <c r="C30" s="28"/>
      <c r="D30" s="28"/>
      <c r="E30" s="33"/>
      <c r="F30" s="33"/>
      <c r="G30" s="33"/>
      <c r="H30" s="33"/>
      <c r="I30" s="33"/>
      <c r="J30" s="33"/>
      <c r="K30" s="33"/>
      <c r="L30" s="33"/>
      <c r="M30" s="74"/>
    </row>
    <row r="31" spans="1:14" ht="24.95" customHeight="1" x14ac:dyDescent="0.3">
      <c r="A31" s="74" t="str">
        <f>집계표!A7</f>
        <v xml:space="preserve"> 1-2  기계공사</v>
      </c>
      <c r="B31" s="74"/>
      <c r="C31" s="74"/>
      <c r="D31" s="74"/>
      <c r="E31" s="32"/>
      <c r="F31" s="32"/>
      <c r="G31" s="32"/>
      <c r="H31" s="32"/>
      <c r="I31" s="32"/>
      <c r="J31" s="32"/>
      <c r="K31" s="32"/>
      <c r="L31" s="32"/>
      <c r="M31" s="74"/>
    </row>
    <row r="32" spans="1:14" ht="24.95" customHeight="1" x14ac:dyDescent="0.3">
      <c r="A32" s="27" t="str">
        <f>물량산출표!A56</f>
        <v>송풍기</v>
      </c>
      <c r="B32" s="122" t="str">
        <f>물량산출표!B56</f>
        <v xml:space="preserve">420CMM, 220mmAq, </v>
      </c>
      <c r="C32" s="74" t="s">
        <v>50</v>
      </c>
      <c r="D32" s="27">
        <f>물량산출표!I56</f>
        <v>1</v>
      </c>
      <c r="E32" s="32">
        <f>단가조사표!J22</f>
        <v>3800000</v>
      </c>
      <c r="F32" s="32">
        <f t="shared" ref="F32:F44" si="4">INT(D32*E32)</f>
        <v>3800000</v>
      </c>
      <c r="G32" s="32"/>
      <c r="H32" s="32"/>
      <c r="I32" s="32"/>
      <c r="J32" s="32"/>
      <c r="K32" s="32"/>
      <c r="L32" s="32">
        <f>SUM(F32,H32,J32)</f>
        <v>3800000</v>
      </c>
      <c r="M32" s="74" t="s">
        <v>464</v>
      </c>
      <c r="N32" s="23"/>
    </row>
    <row r="33" spans="1:14" ht="24.95" customHeight="1" x14ac:dyDescent="0.3">
      <c r="A33" s="74" t="str">
        <f>일위대가표!B47</f>
        <v>송풍기 설치 (대 당, 편흡입 #6 )</v>
      </c>
      <c r="B33" s="74"/>
      <c r="C33" s="74" t="s">
        <v>466</v>
      </c>
      <c r="D33" s="74">
        <f>물량산출표!I56</f>
        <v>1</v>
      </c>
      <c r="E33" s="32"/>
      <c r="F33" s="32"/>
      <c r="G33" s="32">
        <f>일위대가목록!F11</f>
        <v>683474</v>
      </c>
      <c r="H33" s="32">
        <f t="shared" ref="H33:H37" si="5">INT(D33*G33)</f>
        <v>683474</v>
      </c>
      <c r="I33" s="32"/>
      <c r="J33" s="32"/>
      <c r="K33" s="32"/>
      <c r="L33" s="32">
        <f>F33+H33+J33</f>
        <v>683474</v>
      </c>
      <c r="M33" s="74" t="s">
        <v>467</v>
      </c>
      <c r="N33" s="23"/>
    </row>
    <row r="34" spans="1:14" ht="24.95" customHeight="1" x14ac:dyDescent="0.3">
      <c r="A34" s="74" t="str">
        <f>물량산출표!A57</f>
        <v>모터</v>
      </c>
      <c r="B34" s="74" t="str">
        <f>물량산출표!B57</f>
        <v>30KW</v>
      </c>
      <c r="C34" s="74" t="s">
        <v>466</v>
      </c>
      <c r="D34" s="74">
        <f>물량산출표!I57</f>
        <v>1</v>
      </c>
      <c r="E34" s="32">
        <f>단가조사표!J23</f>
        <v>1960000</v>
      </c>
      <c r="F34" s="32">
        <f t="shared" si="4"/>
        <v>1960000</v>
      </c>
      <c r="G34" s="32"/>
      <c r="H34" s="32"/>
      <c r="I34" s="32"/>
      <c r="J34" s="32"/>
      <c r="K34" s="32"/>
      <c r="L34" s="32"/>
      <c r="M34" s="84" t="s">
        <v>470</v>
      </c>
      <c r="N34" s="23"/>
    </row>
    <row r="35" spans="1:14" ht="24.95" customHeight="1" x14ac:dyDescent="0.3">
      <c r="A35" s="62" t="str">
        <f>일위대가표!B51</f>
        <v xml:space="preserve"> 전동기 설치(30KW이하)</v>
      </c>
      <c r="B35" s="62"/>
      <c r="C35" s="62" t="s">
        <v>471</v>
      </c>
      <c r="D35" s="84">
        <f>물량산출표!I57</f>
        <v>1</v>
      </c>
      <c r="E35" s="32"/>
      <c r="F35" s="32"/>
      <c r="G35" s="68">
        <f>일위대가목록!F12</f>
        <v>618065</v>
      </c>
      <c r="H35" s="32">
        <f t="shared" si="5"/>
        <v>618065</v>
      </c>
      <c r="I35" s="32"/>
      <c r="J35" s="32"/>
      <c r="K35" s="68"/>
      <c r="L35" s="32">
        <f>F35+H35+J35</f>
        <v>618065</v>
      </c>
      <c r="M35" s="62" t="s">
        <v>472</v>
      </c>
      <c r="N35" s="23"/>
    </row>
    <row r="36" spans="1:14" ht="24.95" customHeight="1" x14ac:dyDescent="0.3">
      <c r="A36" s="74" t="str">
        <f>물량산출표!A58</f>
        <v>펌프</v>
      </c>
      <c r="B36" s="122" t="str">
        <f>물량산출표!B58</f>
        <v xml:space="preserve">0.85cmm 15mH 7.5kw </v>
      </c>
      <c r="C36" s="74" t="s">
        <v>50</v>
      </c>
      <c r="D36" s="74">
        <f>물량산출표!I58</f>
        <v>2</v>
      </c>
      <c r="E36" s="32">
        <f>단가조사표!J24</f>
        <v>1661000</v>
      </c>
      <c r="F36" s="32">
        <f t="shared" si="4"/>
        <v>3322000</v>
      </c>
      <c r="G36" s="32"/>
      <c r="H36" s="32"/>
      <c r="I36" s="32"/>
      <c r="J36" s="32"/>
      <c r="K36" s="32"/>
      <c r="L36" s="32">
        <f t="shared" ref="L36:L44" si="6">F36+H36+J36</f>
        <v>3322000</v>
      </c>
      <c r="M36" s="84"/>
      <c r="N36" s="23"/>
    </row>
    <row r="37" spans="1:14" ht="24.95" customHeight="1" x14ac:dyDescent="0.3">
      <c r="A37" s="74" t="str">
        <f>일위대가표!B42</f>
        <v>펌프설치(7.5KW 이하)</v>
      </c>
      <c r="B37" s="74"/>
      <c r="C37" s="74" t="s">
        <v>466</v>
      </c>
      <c r="D37" s="74">
        <v>2</v>
      </c>
      <c r="E37" s="32"/>
      <c r="F37" s="32"/>
      <c r="G37" s="32">
        <f>일위대가목록!F10</f>
        <v>394940</v>
      </c>
      <c r="H37" s="32">
        <f t="shared" si="5"/>
        <v>789880</v>
      </c>
      <c r="I37" s="32">
        <f>일위대가목록!G10</f>
        <v>11848</v>
      </c>
      <c r="J37" s="32">
        <f t="shared" ref="J37" si="7">INT(D37*I37)</f>
        <v>23696</v>
      </c>
      <c r="K37" s="32"/>
      <c r="L37" s="32">
        <f>F37+H37+J37</f>
        <v>813576</v>
      </c>
      <c r="M37" s="74" t="s">
        <v>468</v>
      </c>
      <c r="N37" s="23"/>
    </row>
    <row r="38" spans="1:14" ht="24.95" customHeight="1" x14ac:dyDescent="0.3">
      <c r="A38" s="74" t="str">
        <f>물량산출표!A59</f>
        <v>PALL RING</v>
      </c>
      <c r="B38" s="74" t="str">
        <f>물량산출표!B59</f>
        <v>2"</v>
      </c>
      <c r="C38" s="74" t="s">
        <v>26</v>
      </c>
      <c r="D38" s="74">
        <f>물량산출표!I59</f>
        <v>63585</v>
      </c>
      <c r="E38" s="32">
        <f>단가조사표!J25</f>
        <v>43</v>
      </c>
      <c r="F38" s="32">
        <f t="shared" si="4"/>
        <v>2734155</v>
      </c>
      <c r="G38" s="32"/>
      <c r="H38" s="32"/>
      <c r="I38" s="32"/>
      <c r="J38" s="32"/>
      <c r="K38" s="32"/>
      <c r="L38" s="32">
        <f t="shared" si="6"/>
        <v>2734155</v>
      </c>
      <c r="M38" s="84"/>
      <c r="N38" s="23"/>
    </row>
    <row r="39" spans="1:14" ht="24.95" customHeight="1" x14ac:dyDescent="0.3">
      <c r="A39" s="74" t="str">
        <f>물량산출표!A60</f>
        <v>NOZZLE</v>
      </c>
      <c r="B39" s="74" t="str">
        <f>물량산출표!B60</f>
        <v>1/2"</v>
      </c>
      <c r="C39" s="74" t="s">
        <v>26</v>
      </c>
      <c r="D39" s="74">
        <f>물량산출표!I60</f>
        <v>24</v>
      </c>
      <c r="E39" s="32">
        <f>단가조사표!J26</f>
        <v>6500</v>
      </c>
      <c r="F39" s="32">
        <f t="shared" si="4"/>
        <v>156000</v>
      </c>
      <c r="G39" s="32"/>
      <c r="H39" s="32"/>
      <c r="I39" s="32"/>
      <c r="J39" s="32"/>
      <c r="K39" s="32"/>
      <c r="L39" s="32">
        <f t="shared" si="6"/>
        <v>156000</v>
      </c>
      <c r="M39" s="84" t="s">
        <v>470</v>
      </c>
      <c r="N39" s="23"/>
    </row>
    <row r="40" spans="1:14" ht="24.95" customHeight="1" x14ac:dyDescent="0.3">
      <c r="A40" s="74" t="str">
        <f>물량산출표!A61</f>
        <v>DEMISTER</v>
      </c>
      <c r="B40" s="74" t="str">
        <f>물량산출표!B61</f>
        <v>3000A X300H</v>
      </c>
      <c r="C40" s="74" t="s">
        <v>26</v>
      </c>
      <c r="D40" s="146">
        <f>물량산출표!I61</f>
        <v>1</v>
      </c>
      <c r="E40" s="32">
        <f>단가조사표!J27</f>
        <v>450000</v>
      </c>
      <c r="F40" s="32">
        <f t="shared" si="4"/>
        <v>450000</v>
      </c>
      <c r="G40" s="32"/>
      <c r="H40" s="32"/>
      <c r="I40" s="32"/>
      <c r="J40" s="32"/>
      <c r="K40" s="32"/>
      <c r="L40" s="32">
        <f t="shared" si="6"/>
        <v>450000</v>
      </c>
      <c r="M40" s="84"/>
      <c r="N40" s="23"/>
    </row>
    <row r="41" spans="1:14" ht="24.95" customHeight="1" x14ac:dyDescent="0.3">
      <c r="A41" s="74" t="str">
        <f>물량산출표!A62</f>
        <v>SIGHT GLASS</v>
      </c>
      <c r="B41" s="74" t="str">
        <f>물량산출표!B62</f>
        <v>600A</v>
      </c>
      <c r="C41" s="74" t="s">
        <v>26</v>
      </c>
      <c r="D41" s="146">
        <f>물량산출표!I62</f>
        <v>3</v>
      </c>
      <c r="E41" s="32">
        <f>단가조사표!J28</f>
        <v>152880</v>
      </c>
      <c r="F41" s="32">
        <f t="shared" si="4"/>
        <v>458640</v>
      </c>
      <c r="G41" s="32"/>
      <c r="H41" s="32"/>
      <c r="I41" s="32"/>
      <c r="J41" s="32"/>
      <c r="K41" s="32"/>
      <c r="L41" s="32">
        <f t="shared" si="6"/>
        <v>458640</v>
      </c>
      <c r="M41" s="84"/>
      <c r="N41" s="23"/>
    </row>
    <row r="42" spans="1:14" ht="24.95" customHeight="1" x14ac:dyDescent="0.3">
      <c r="A42" s="74" t="str">
        <f>물량산출표!A63</f>
        <v>AGITATOR</v>
      </c>
      <c r="B42" s="74" t="str">
        <f>물량산출표!B63</f>
        <v>1/2HP</v>
      </c>
      <c r="C42" s="74" t="s">
        <v>26</v>
      </c>
      <c r="D42" s="74">
        <f>물량산출표!I63</f>
        <v>1</v>
      </c>
      <c r="E42" s="32">
        <f>단가조사표!J29</f>
        <v>860000</v>
      </c>
      <c r="F42" s="32">
        <f t="shared" si="4"/>
        <v>860000</v>
      </c>
      <c r="G42" s="32"/>
      <c r="H42" s="32"/>
      <c r="I42" s="32"/>
      <c r="J42" s="32"/>
      <c r="K42" s="32"/>
      <c r="L42" s="32">
        <f t="shared" si="6"/>
        <v>860000</v>
      </c>
      <c r="M42" s="84"/>
      <c r="N42" s="23"/>
    </row>
    <row r="43" spans="1:14" ht="24.95" customHeight="1" x14ac:dyDescent="0.3">
      <c r="A43" s="74" t="str">
        <f>물량산출표!A64</f>
        <v>CHEMICAL TANK</v>
      </c>
      <c r="B43" s="74" t="str">
        <f>물량산출표!B64</f>
        <v>0.6M3</v>
      </c>
      <c r="C43" s="74" t="s">
        <v>26</v>
      </c>
      <c r="D43" s="74">
        <f>물량산출표!I64</f>
        <v>1</v>
      </c>
      <c r="E43" s="32">
        <f>단가조사표!J30</f>
        <v>400000</v>
      </c>
      <c r="F43" s="32">
        <f t="shared" si="4"/>
        <v>400000</v>
      </c>
      <c r="G43" s="32"/>
      <c r="H43" s="32"/>
      <c r="I43" s="32"/>
      <c r="J43" s="32"/>
      <c r="K43" s="32"/>
      <c r="L43" s="32">
        <f t="shared" si="6"/>
        <v>400000</v>
      </c>
      <c r="M43" s="84"/>
    </row>
    <row r="44" spans="1:14" ht="24.95" customHeight="1" x14ac:dyDescent="0.3">
      <c r="A44" s="74" t="str">
        <f>물량산출표!A65</f>
        <v>FEEDER PUMP</v>
      </c>
      <c r="B44" s="74" t="str">
        <f>물량산출표!B65</f>
        <v>2000CC</v>
      </c>
      <c r="C44" s="74" t="s">
        <v>26</v>
      </c>
      <c r="D44" s="74">
        <f>물량산출표!I65</f>
        <v>1</v>
      </c>
      <c r="E44" s="32">
        <f>단가조사표!J31</f>
        <v>1520000</v>
      </c>
      <c r="F44" s="32">
        <f t="shared" si="4"/>
        <v>1520000</v>
      </c>
      <c r="G44" s="32"/>
      <c r="H44" s="32"/>
      <c r="I44" s="32"/>
      <c r="J44" s="32"/>
      <c r="K44" s="32"/>
      <c r="L44" s="32">
        <f t="shared" si="6"/>
        <v>1520000</v>
      </c>
      <c r="M44" s="84"/>
    </row>
    <row r="45" spans="1:14" ht="24.95" customHeight="1" x14ac:dyDescent="0.3">
      <c r="A45" s="28" t="s">
        <v>28</v>
      </c>
      <c r="B45" s="28"/>
      <c r="C45" s="28"/>
      <c r="D45" s="28"/>
      <c r="E45" s="33"/>
      <c r="F45" s="33">
        <f>SUM(F32:F44)</f>
        <v>15660795</v>
      </c>
      <c r="G45" s="33"/>
      <c r="H45" s="33">
        <f>SUM(H32:H44)</f>
        <v>2091419</v>
      </c>
      <c r="I45" s="33"/>
      <c r="J45" s="33">
        <f>SUM(J32:J44)</f>
        <v>23696</v>
      </c>
      <c r="K45" s="33"/>
      <c r="L45" s="33">
        <f>F45+H45+J45</f>
        <v>17775910</v>
      </c>
      <c r="M45" s="27"/>
    </row>
    <row r="46" spans="1:14" ht="24.95" customHeight="1" x14ac:dyDescent="0.3">
      <c r="A46" s="97"/>
      <c r="B46" s="97"/>
      <c r="C46" s="97"/>
      <c r="D46" s="97"/>
      <c r="E46" s="70"/>
      <c r="F46" s="70"/>
      <c r="G46" s="70"/>
      <c r="H46" s="70"/>
      <c r="I46" s="70"/>
      <c r="J46" s="70"/>
      <c r="K46" s="70"/>
      <c r="L46" s="70"/>
      <c r="M46" s="62"/>
    </row>
    <row r="47" spans="1:14" ht="24.95" customHeight="1" x14ac:dyDescent="0.3">
      <c r="A47" s="28" t="str">
        <f>집계표!A8</f>
        <v>1-3 도장공사</v>
      </c>
      <c r="B47" s="27"/>
      <c r="C47" s="27"/>
      <c r="D47" s="27"/>
      <c r="E47" s="32"/>
      <c r="F47" s="32"/>
      <c r="G47" s="32"/>
      <c r="H47" s="32"/>
      <c r="I47" s="32"/>
      <c r="J47" s="32"/>
      <c r="K47" s="32"/>
      <c r="L47" s="32"/>
      <c r="M47" s="27"/>
    </row>
    <row r="48" spans="1:14" ht="24.95" customHeight="1" x14ac:dyDescent="0.3">
      <c r="A48" s="27" t="s">
        <v>29</v>
      </c>
      <c r="B48" s="27" t="s">
        <v>30</v>
      </c>
      <c r="C48" s="27" t="s">
        <v>31</v>
      </c>
      <c r="D48" s="27">
        <f>물량산출표!I68</f>
        <v>37.18</v>
      </c>
      <c r="E48" s="32">
        <f>일위대가목록!E13</f>
        <v>1905</v>
      </c>
      <c r="F48" s="32">
        <f t="shared" ref="F48:F49" si="8">INT(D48*E48)</f>
        <v>70827</v>
      </c>
      <c r="G48" s="32">
        <f>일위대가목록!F13</f>
        <v>6787</v>
      </c>
      <c r="H48" s="32">
        <f t="shared" ref="H48:H49" si="9">INT(D48*G48)</f>
        <v>252340</v>
      </c>
      <c r="I48" s="32"/>
      <c r="J48" s="32"/>
      <c r="K48" s="32"/>
      <c r="L48" s="32">
        <f>F48+H48+J48</f>
        <v>323167</v>
      </c>
      <c r="M48" s="84" t="s">
        <v>422</v>
      </c>
    </row>
    <row r="49" spans="1:13" ht="24.95" customHeight="1" x14ac:dyDescent="0.3">
      <c r="A49" s="27" t="s">
        <v>32</v>
      </c>
      <c r="B49" s="27" t="s">
        <v>33</v>
      </c>
      <c r="C49" s="27" t="s">
        <v>34</v>
      </c>
      <c r="D49" s="27">
        <f>물량산출표!I69</f>
        <v>37.18</v>
      </c>
      <c r="E49" s="32">
        <f>일위대가목록!E14</f>
        <v>1100</v>
      </c>
      <c r="F49" s="32">
        <f t="shared" si="8"/>
        <v>40898</v>
      </c>
      <c r="G49" s="32">
        <f>일위대가목록!F14</f>
        <v>9050</v>
      </c>
      <c r="H49" s="32">
        <f t="shared" si="9"/>
        <v>336479</v>
      </c>
      <c r="I49" s="32">
        <f>일위대가목록!G14</f>
        <v>0</v>
      </c>
      <c r="J49" s="32">
        <f t="shared" ref="J49" si="10">INT(D49*I49)</f>
        <v>0</v>
      </c>
      <c r="K49" s="32"/>
      <c r="L49" s="32">
        <f>F49+H49+J49</f>
        <v>377377</v>
      </c>
      <c r="M49" s="84" t="s">
        <v>476</v>
      </c>
    </row>
    <row r="50" spans="1:13" ht="24.95" customHeight="1" x14ac:dyDescent="0.3">
      <c r="A50" s="28" t="s">
        <v>28</v>
      </c>
      <c r="B50" s="28"/>
      <c r="C50" s="28"/>
      <c r="D50" s="28"/>
      <c r="E50" s="33"/>
      <c r="F50" s="33">
        <f>SUM(F48:F49)</f>
        <v>111725</v>
      </c>
      <c r="G50" s="33"/>
      <c r="H50" s="33">
        <f>SUM(H48:H49)</f>
        <v>588819</v>
      </c>
      <c r="I50" s="33"/>
      <c r="J50" s="33">
        <f>SUM(J48:J49)</f>
        <v>0</v>
      </c>
      <c r="K50" s="33"/>
      <c r="L50" s="33">
        <f>F50+H50+J50</f>
        <v>700544</v>
      </c>
      <c r="M50" s="27"/>
    </row>
    <row r="51" spans="1:13" ht="24.95" customHeight="1" x14ac:dyDescent="0.3">
      <c r="A51" s="27"/>
      <c r="B51" s="27"/>
      <c r="C51" s="27"/>
      <c r="D51" s="27"/>
      <c r="E51" s="32"/>
      <c r="F51" s="32"/>
      <c r="G51" s="32"/>
      <c r="H51" s="32"/>
      <c r="I51" s="32"/>
      <c r="J51" s="32"/>
      <c r="K51" s="32"/>
      <c r="L51" s="32"/>
      <c r="M51" s="27"/>
    </row>
    <row r="52" spans="1:13" ht="24.95" customHeight="1" x14ac:dyDescent="0.3">
      <c r="A52" s="28" t="str">
        <f>집계표!A9</f>
        <v>1-4 IOT 공사</v>
      </c>
      <c r="B52" s="27"/>
      <c r="C52" s="27"/>
      <c r="D52" s="27"/>
      <c r="E52" s="32"/>
      <c r="F52" s="32"/>
      <c r="G52" s="32"/>
      <c r="H52" s="32"/>
      <c r="I52" s="32"/>
      <c r="J52" s="32"/>
      <c r="K52" s="32"/>
      <c r="L52" s="32"/>
      <c r="M52" s="27"/>
    </row>
    <row r="53" spans="1:13" ht="24.95" customHeight="1" x14ac:dyDescent="0.3">
      <c r="A53" s="145" t="s">
        <v>584</v>
      </c>
      <c r="B53" s="84" t="s">
        <v>486</v>
      </c>
      <c r="C53" s="27" t="s">
        <v>35</v>
      </c>
      <c r="D53" s="27">
        <v>1</v>
      </c>
      <c r="E53" s="32">
        <f>단가조사표!J32</f>
        <v>1000000</v>
      </c>
      <c r="F53" s="32">
        <f t="shared" ref="F53:F58" si="11">INT(D53*E53)</f>
        <v>1000000</v>
      </c>
      <c r="G53" s="32"/>
      <c r="H53" s="32"/>
      <c r="I53" s="32"/>
      <c r="J53" s="32"/>
      <c r="K53" s="32"/>
      <c r="L53" s="32">
        <f t="shared" ref="L53:L58" si="12">F53+H53+J53</f>
        <v>1000000</v>
      </c>
      <c r="M53" s="27" t="s">
        <v>661</v>
      </c>
    </row>
    <row r="54" spans="1:13" ht="24.95" customHeight="1" x14ac:dyDescent="0.3">
      <c r="A54" s="27" t="s">
        <v>36</v>
      </c>
      <c r="B54" s="102" t="s">
        <v>487</v>
      </c>
      <c r="C54" s="27" t="s">
        <v>26</v>
      </c>
      <c r="D54" s="27">
        <v>1</v>
      </c>
      <c r="E54" s="32">
        <f>단가조사표!J33</f>
        <v>400000</v>
      </c>
      <c r="F54" s="32">
        <f t="shared" si="11"/>
        <v>400000</v>
      </c>
      <c r="G54" s="32"/>
      <c r="H54" s="32"/>
      <c r="I54" s="32"/>
      <c r="J54" s="32"/>
      <c r="K54" s="32"/>
      <c r="L54" s="32">
        <f t="shared" si="12"/>
        <v>400000</v>
      </c>
      <c r="M54" s="155" t="s">
        <v>661</v>
      </c>
    </row>
    <row r="55" spans="1:13" ht="24.95" customHeight="1" x14ac:dyDescent="0.3">
      <c r="A55" s="27" t="s">
        <v>37</v>
      </c>
      <c r="B55" s="27"/>
      <c r="C55" s="27" t="s">
        <v>38</v>
      </c>
      <c r="D55" s="27">
        <v>1</v>
      </c>
      <c r="E55" s="32">
        <f>단가조사표!J34</f>
        <v>300000</v>
      </c>
      <c r="F55" s="32">
        <f t="shared" si="11"/>
        <v>300000</v>
      </c>
      <c r="G55" s="32"/>
      <c r="H55" s="32"/>
      <c r="I55" s="32"/>
      <c r="J55" s="32"/>
      <c r="K55" s="32"/>
      <c r="L55" s="32">
        <f t="shared" si="12"/>
        <v>300000</v>
      </c>
      <c r="M55" s="155" t="s">
        <v>661</v>
      </c>
    </row>
    <row r="56" spans="1:13" ht="24.95" customHeight="1" x14ac:dyDescent="0.3">
      <c r="A56" s="27" t="s">
        <v>39</v>
      </c>
      <c r="B56" s="27"/>
      <c r="C56" s="27" t="s">
        <v>38</v>
      </c>
      <c r="D56" s="27">
        <v>1</v>
      </c>
      <c r="E56" s="32">
        <f>단가조사표!J35</f>
        <v>300000</v>
      </c>
      <c r="F56" s="32">
        <f t="shared" si="11"/>
        <v>300000</v>
      </c>
      <c r="G56" s="32"/>
      <c r="H56" s="32"/>
      <c r="I56" s="32"/>
      <c r="J56" s="32"/>
      <c r="K56" s="32"/>
      <c r="L56" s="32">
        <f t="shared" si="12"/>
        <v>300000</v>
      </c>
      <c r="M56" s="155" t="s">
        <v>661</v>
      </c>
    </row>
    <row r="57" spans="1:13" ht="24.95" customHeight="1" x14ac:dyDescent="0.3">
      <c r="A57" s="27" t="s">
        <v>40</v>
      </c>
      <c r="B57" s="27"/>
      <c r="C57" s="27" t="s">
        <v>41</v>
      </c>
      <c r="D57" s="27">
        <v>1</v>
      </c>
      <c r="E57" s="32">
        <f>단가조사표!J36</f>
        <v>1600000</v>
      </c>
      <c r="F57" s="32">
        <f t="shared" si="11"/>
        <v>1600000</v>
      </c>
      <c r="G57" s="32"/>
      <c r="H57" s="32"/>
      <c r="I57" s="32"/>
      <c r="J57" s="32"/>
      <c r="K57" s="32"/>
      <c r="L57" s="32">
        <f t="shared" si="12"/>
        <v>1600000</v>
      </c>
      <c r="M57" s="155" t="s">
        <v>661</v>
      </c>
    </row>
    <row r="58" spans="1:13" ht="24.95" customHeight="1" x14ac:dyDescent="0.3">
      <c r="A58" s="27" t="s">
        <v>42</v>
      </c>
      <c r="B58" s="27"/>
      <c r="C58" s="27" t="s">
        <v>41</v>
      </c>
      <c r="D58" s="27">
        <v>1</v>
      </c>
      <c r="E58" s="32">
        <f>단가조사표!J37</f>
        <v>400000</v>
      </c>
      <c r="F58" s="32">
        <f t="shared" si="11"/>
        <v>400000</v>
      </c>
      <c r="G58" s="32"/>
      <c r="H58" s="32"/>
      <c r="I58" s="32"/>
      <c r="J58" s="32"/>
      <c r="K58" s="32"/>
      <c r="L58" s="32">
        <f t="shared" si="12"/>
        <v>400000</v>
      </c>
      <c r="M58" s="155" t="s">
        <v>661</v>
      </c>
    </row>
    <row r="59" spans="1:13" ht="24.95" customHeight="1" x14ac:dyDescent="0.3">
      <c r="A59" s="28" t="s">
        <v>28</v>
      </c>
      <c r="B59" s="28"/>
      <c r="C59" s="28"/>
      <c r="D59" s="28"/>
      <c r="E59" s="33"/>
      <c r="F59" s="33">
        <f>SUM(F53:F58)</f>
        <v>4000000</v>
      </c>
      <c r="G59" s="33"/>
      <c r="H59" s="33"/>
      <c r="I59" s="33"/>
      <c r="J59" s="33"/>
      <c r="K59" s="33"/>
      <c r="L59" s="33">
        <f>F59+H59+J59</f>
        <v>4000000</v>
      </c>
      <c r="M59" s="84"/>
    </row>
    <row r="60" spans="1:13" ht="24.95" customHeight="1" x14ac:dyDescent="0.3">
      <c r="A60" s="62"/>
      <c r="B60" s="62"/>
      <c r="C60" s="62"/>
      <c r="D60" s="62"/>
      <c r="E60" s="68"/>
      <c r="F60" s="68"/>
      <c r="G60" s="68"/>
      <c r="H60" s="68"/>
      <c r="I60" s="68"/>
      <c r="J60" s="68"/>
      <c r="K60" s="68"/>
      <c r="L60" s="68"/>
      <c r="M60" s="62"/>
    </row>
    <row r="61" spans="1:13" ht="24.95" customHeight="1" x14ac:dyDescent="0.3">
      <c r="A61" s="28" t="str">
        <f>집계표!A12</f>
        <v>2. 전기공사</v>
      </c>
      <c r="B61" s="27"/>
      <c r="C61" s="27"/>
      <c r="D61" s="27"/>
      <c r="E61" s="32"/>
      <c r="F61" s="32"/>
      <c r="G61" s="32"/>
      <c r="H61" s="32"/>
      <c r="I61" s="32"/>
      <c r="J61" s="32"/>
      <c r="K61" s="32"/>
      <c r="L61" s="32"/>
      <c r="M61" s="27"/>
    </row>
    <row r="62" spans="1:13" ht="24.95" customHeight="1" x14ac:dyDescent="0.3">
      <c r="A62" s="27" t="str">
        <f>물량산출표!A80</f>
        <v>전동기 제어반</v>
      </c>
      <c r="B62" s="164" t="str">
        <f>물량산출표!B80</f>
        <v>옥외2중 방수 700x1000x350</v>
      </c>
      <c r="C62" s="27" t="s">
        <v>44</v>
      </c>
      <c r="D62" s="27">
        <f>물량산출표!I80</f>
        <v>1</v>
      </c>
      <c r="E62" s="32">
        <f>단가조사표!J38</f>
        <v>472300</v>
      </c>
      <c r="F62" s="32">
        <f t="shared" ref="F62:F75" si="13">INT(D62*E62)</f>
        <v>472300</v>
      </c>
      <c r="G62" s="32">
        <f>일위대가목록!F17</f>
        <v>707162</v>
      </c>
      <c r="H62" s="32">
        <f t="shared" ref="H62:H75" si="14">INT(D62*G62)</f>
        <v>707162</v>
      </c>
      <c r="I62" s="32"/>
      <c r="J62" s="32"/>
      <c r="K62" s="32"/>
      <c r="L62" s="32">
        <f t="shared" ref="L62:L74" si="15">F62+H62+J62</f>
        <v>1179462</v>
      </c>
      <c r="M62" s="108" t="s">
        <v>647</v>
      </c>
    </row>
    <row r="63" spans="1:13" ht="24.95" customHeight="1" x14ac:dyDescent="0.3">
      <c r="A63" s="105" t="s">
        <v>701</v>
      </c>
      <c r="B63" s="105" t="str">
        <f>물량산출표!B82</f>
        <v>ABS 104C 150A</v>
      </c>
      <c r="C63" s="27" t="s">
        <v>43</v>
      </c>
      <c r="D63" s="146">
        <f>물량산출표!I82</f>
        <v>1</v>
      </c>
      <c r="E63" s="32">
        <f>단가조사표!J40</f>
        <v>111900</v>
      </c>
      <c r="F63" s="32">
        <f t="shared" si="13"/>
        <v>111900</v>
      </c>
      <c r="G63" s="32">
        <f>일위대가목록!F19</f>
        <v>148623</v>
      </c>
      <c r="H63" s="32">
        <f t="shared" si="14"/>
        <v>148623</v>
      </c>
      <c r="I63" s="32"/>
      <c r="J63" s="32"/>
      <c r="K63" s="32"/>
      <c r="L63" s="32">
        <f t="shared" si="15"/>
        <v>260523</v>
      </c>
      <c r="M63" s="108" t="s">
        <v>648</v>
      </c>
    </row>
    <row r="64" spans="1:13" ht="24.95" customHeight="1" x14ac:dyDescent="0.3">
      <c r="A64" s="161" t="s">
        <v>701</v>
      </c>
      <c r="B64" s="105" t="str">
        <f>물량산출표!B83</f>
        <v>ABS 63 100A</v>
      </c>
      <c r="C64" s="27" t="s">
        <v>43</v>
      </c>
      <c r="D64" s="146">
        <f>물량산출표!I83</f>
        <v>2</v>
      </c>
      <c r="E64" s="32">
        <f>단가조사표!J41</f>
        <v>50200</v>
      </c>
      <c r="F64" s="32">
        <f t="shared" si="13"/>
        <v>100400</v>
      </c>
      <c r="G64" s="32">
        <f>일위대가목록!F19</f>
        <v>148623</v>
      </c>
      <c r="H64" s="32">
        <f t="shared" si="14"/>
        <v>297246</v>
      </c>
      <c r="I64" s="32"/>
      <c r="J64" s="32"/>
      <c r="K64" s="32"/>
      <c r="L64" s="32">
        <f t="shared" si="15"/>
        <v>397646</v>
      </c>
      <c r="M64" s="108" t="s">
        <v>649</v>
      </c>
    </row>
    <row r="65" spans="1:13" ht="24.95" customHeight="1" x14ac:dyDescent="0.3">
      <c r="A65" s="161" t="s">
        <v>701</v>
      </c>
      <c r="B65" s="105" t="str">
        <f>물량산출표!B84</f>
        <v>BKM 2P6A 30A</v>
      </c>
      <c r="C65" s="27" t="s">
        <v>43</v>
      </c>
      <c r="D65" s="146">
        <f>물량산출표!I84</f>
        <v>1</v>
      </c>
      <c r="E65" s="32">
        <f>단가조사표!J42</f>
        <v>9600</v>
      </c>
      <c r="F65" s="32">
        <f t="shared" si="13"/>
        <v>9600</v>
      </c>
      <c r="G65" s="32">
        <f>일위대가목록!F19</f>
        <v>148623</v>
      </c>
      <c r="H65" s="32">
        <f t="shared" si="14"/>
        <v>148623</v>
      </c>
      <c r="I65" s="32"/>
      <c r="J65" s="32"/>
      <c r="K65" s="32"/>
      <c r="L65" s="32">
        <f t="shared" si="15"/>
        <v>158223</v>
      </c>
      <c r="M65" s="108" t="s">
        <v>650</v>
      </c>
    </row>
    <row r="66" spans="1:13" ht="24.95" customHeight="1" x14ac:dyDescent="0.3">
      <c r="A66" s="105" t="s">
        <v>702</v>
      </c>
      <c r="B66" s="105" t="str">
        <f>물량산출표!B85</f>
        <v>MC-65</v>
      </c>
      <c r="C66" s="27" t="s">
        <v>43</v>
      </c>
      <c r="D66" s="146">
        <f>물량산출표!I85</f>
        <v>2</v>
      </c>
      <c r="E66" s="32">
        <f>단가조사표!J43</f>
        <v>72600</v>
      </c>
      <c r="F66" s="32">
        <f t="shared" si="13"/>
        <v>145200</v>
      </c>
      <c r="G66" s="32">
        <f>일위대가목록!F20</f>
        <v>323615</v>
      </c>
      <c r="H66" s="32">
        <f t="shared" si="14"/>
        <v>647230</v>
      </c>
      <c r="I66" s="32"/>
      <c r="J66" s="32"/>
      <c r="K66" s="32"/>
      <c r="L66" s="32">
        <f t="shared" si="15"/>
        <v>792430</v>
      </c>
      <c r="M66" s="108" t="s">
        <v>651</v>
      </c>
    </row>
    <row r="67" spans="1:13" ht="24.95" customHeight="1" x14ac:dyDescent="0.3">
      <c r="A67" s="161" t="s">
        <v>702</v>
      </c>
      <c r="B67" s="105" t="str">
        <f>물량산출표!B86</f>
        <v>MC-50</v>
      </c>
      <c r="C67" s="27" t="s">
        <v>43</v>
      </c>
      <c r="D67" s="146">
        <f>물량산출표!I86</f>
        <v>1</v>
      </c>
      <c r="E67" s="32">
        <f>단가조사표!J44</f>
        <v>53600</v>
      </c>
      <c r="F67" s="32">
        <f t="shared" si="13"/>
        <v>53600</v>
      </c>
      <c r="G67" s="32">
        <f>일위대가목록!F20</f>
        <v>323615</v>
      </c>
      <c r="H67" s="32">
        <f t="shared" si="14"/>
        <v>323615</v>
      </c>
      <c r="I67" s="32"/>
      <c r="J67" s="32"/>
      <c r="K67" s="32"/>
      <c r="L67" s="32">
        <f t="shared" si="15"/>
        <v>377215</v>
      </c>
      <c r="M67" s="108" t="s">
        <v>652</v>
      </c>
    </row>
    <row r="68" spans="1:13" ht="24.95" customHeight="1" x14ac:dyDescent="0.3">
      <c r="A68" s="161" t="s">
        <v>702</v>
      </c>
      <c r="B68" s="105" t="str">
        <f>물량산출표!B87</f>
        <v>MC-40</v>
      </c>
      <c r="C68" s="27" t="s">
        <v>43</v>
      </c>
      <c r="D68" s="146">
        <f>물량산출표!I87</f>
        <v>2</v>
      </c>
      <c r="E68" s="32">
        <f>단가조사표!J45</f>
        <v>44900</v>
      </c>
      <c r="F68" s="32">
        <f t="shared" si="13"/>
        <v>89800</v>
      </c>
      <c r="G68" s="32">
        <f>일위대가목록!F20</f>
        <v>323615</v>
      </c>
      <c r="H68" s="32">
        <f t="shared" si="14"/>
        <v>647230</v>
      </c>
      <c r="I68" s="32"/>
      <c r="J68" s="32"/>
      <c r="K68" s="32"/>
      <c r="L68" s="32">
        <f t="shared" si="15"/>
        <v>737030</v>
      </c>
      <c r="M68" s="108" t="s">
        <v>652</v>
      </c>
    </row>
    <row r="69" spans="1:13" ht="24.95" customHeight="1" x14ac:dyDescent="0.3">
      <c r="A69" s="161" t="s">
        <v>702</v>
      </c>
      <c r="B69" s="105" t="str">
        <f>물량산출표!B88</f>
        <v>MC-9</v>
      </c>
      <c r="C69" s="62" t="s">
        <v>532</v>
      </c>
      <c r="D69" s="146">
        <f>물량산출표!I88</f>
        <v>2</v>
      </c>
      <c r="E69" s="32">
        <f>단가조사표!J46</f>
        <v>11100</v>
      </c>
      <c r="F69" s="32">
        <f t="shared" si="13"/>
        <v>22200</v>
      </c>
      <c r="G69" s="32">
        <f>일위대가목록!F20</f>
        <v>323615</v>
      </c>
      <c r="H69" s="32">
        <f t="shared" si="14"/>
        <v>647230</v>
      </c>
      <c r="I69" s="68"/>
      <c r="J69" s="32"/>
      <c r="K69" s="68"/>
      <c r="L69" s="32">
        <f t="shared" si="15"/>
        <v>669430</v>
      </c>
      <c r="M69" s="108" t="s">
        <v>653</v>
      </c>
    </row>
    <row r="70" spans="1:13" ht="24.95" customHeight="1" x14ac:dyDescent="0.3">
      <c r="A70" s="105" t="str">
        <f>물량산출표!A89</f>
        <v>동 부스바</v>
      </c>
      <c r="B70" s="105" t="str">
        <f>물량산출표!B89</f>
        <v>KSD</v>
      </c>
      <c r="C70" s="62" t="s">
        <v>532</v>
      </c>
      <c r="D70" s="146">
        <f>물량산출표!I89</f>
        <v>1</v>
      </c>
      <c r="E70" s="32">
        <f>단가조사표!J47</f>
        <v>10000</v>
      </c>
      <c r="F70" s="32">
        <f t="shared" si="13"/>
        <v>10000</v>
      </c>
      <c r="G70" s="32"/>
      <c r="H70" s="32"/>
      <c r="I70" s="68"/>
      <c r="J70" s="32"/>
      <c r="K70" s="68"/>
      <c r="L70" s="32">
        <f t="shared" si="15"/>
        <v>10000</v>
      </c>
      <c r="M70" s="108"/>
    </row>
    <row r="71" spans="1:13" ht="24.95" customHeight="1" x14ac:dyDescent="0.3">
      <c r="A71" s="105" t="str">
        <f>물량산출표!A90</f>
        <v>판넬전선</v>
      </c>
      <c r="B71" s="105" t="str">
        <f>물량산출표!B90</f>
        <v>KIV-35SQ</v>
      </c>
      <c r="C71" s="62" t="s">
        <v>514</v>
      </c>
      <c r="D71" s="146">
        <f>물량산출표!I90</f>
        <v>5</v>
      </c>
      <c r="E71" s="32">
        <f>단가조사표!J48</f>
        <v>3461</v>
      </c>
      <c r="F71" s="32">
        <f t="shared" si="13"/>
        <v>17305</v>
      </c>
      <c r="G71" s="32"/>
      <c r="H71" s="32"/>
      <c r="I71" s="68"/>
      <c r="J71" s="32"/>
      <c r="K71" s="68"/>
      <c r="L71" s="32">
        <f t="shared" si="15"/>
        <v>17305</v>
      </c>
      <c r="M71" s="108"/>
    </row>
    <row r="72" spans="1:13" ht="24.95" customHeight="1" x14ac:dyDescent="0.3">
      <c r="A72" s="105" t="str">
        <f>물량산출표!A91</f>
        <v>플랙시블 전선관</v>
      </c>
      <c r="B72" s="105" t="str">
        <f>물량산출표!B91</f>
        <v>16mm</v>
      </c>
      <c r="C72" s="62" t="s">
        <v>514</v>
      </c>
      <c r="D72" s="146">
        <f>물량산출표!I91</f>
        <v>5</v>
      </c>
      <c r="E72" s="32">
        <f>단가조사표!J49</f>
        <v>2100</v>
      </c>
      <c r="F72" s="32">
        <f t="shared" si="13"/>
        <v>10500</v>
      </c>
      <c r="G72" s="32">
        <f>일위대가목록!F15</f>
        <v>11985</v>
      </c>
      <c r="H72" s="32">
        <f t="shared" si="14"/>
        <v>59925</v>
      </c>
      <c r="I72" s="68"/>
      <c r="J72" s="32"/>
      <c r="K72" s="68"/>
      <c r="L72" s="32">
        <f t="shared" si="15"/>
        <v>70425</v>
      </c>
      <c r="M72" s="108" t="s">
        <v>654</v>
      </c>
    </row>
    <row r="73" spans="1:13" ht="24.95" customHeight="1" x14ac:dyDescent="0.3">
      <c r="A73" s="105" t="str">
        <f>물량산출표!A92</f>
        <v>전선</v>
      </c>
      <c r="B73" s="105" t="str">
        <f>물량산출표!B92</f>
        <v>CV16SQ*1C</v>
      </c>
      <c r="C73" s="62" t="s">
        <v>514</v>
      </c>
      <c r="D73" s="146">
        <f>물량산출표!I92</f>
        <v>5</v>
      </c>
      <c r="E73" s="32">
        <f>단가조사표!J50</f>
        <v>1552</v>
      </c>
      <c r="F73" s="32">
        <f t="shared" si="13"/>
        <v>7760</v>
      </c>
      <c r="G73" s="32">
        <f>일위대가목록!F16</f>
        <v>7910</v>
      </c>
      <c r="H73" s="32">
        <f t="shared" si="14"/>
        <v>39550</v>
      </c>
      <c r="I73" s="68"/>
      <c r="J73" s="32"/>
      <c r="K73" s="68"/>
      <c r="L73" s="32">
        <f t="shared" si="15"/>
        <v>47310</v>
      </c>
      <c r="M73" s="108" t="s">
        <v>655</v>
      </c>
    </row>
    <row r="74" spans="1:13" ht="24.95" customHeight="1" x14ac:dyDescent="0.3">
      <c r="A74" s="105" t="str">
        <f>물량산출표!A93</f>
        <v>전선</v>
      </c>
      <c r="B74" s="105" t="str">
        <f>물량산출표!B93</f>
        <v>CV10SQ*4C</v>
      </c>
      <c r="C74" s="62" t="s">
        <v>514</v>
      </c>
      <c r="D74" s="146">
        <f>물량산출표!I93</f>
        <v>10</v>
      </c>
      <c r="E74" s="32">
        <f>단가조사표!J51</f>
        <v>4473</v>
      </c>
      <c r="F74" s="32">
        <f t="shared" si="13"/>
        <v>44730</v>
      </c>
      <c r="G74" s="32">
        <f>일위대가목록!F16</f>
        <v>7910</v>
      </c>
      <c r="H74" s="32">
        <f t="shared" si="14"/>
        <v>79100</v>
      </c>
      <c r="I74" s="68"/>
      <c r="J74" s="32"/>
      <c r="K74" s="68"/>
      <c r="L74" s="32">
        <f t="shared" si="15"/>
        <v>123830</v>
      </c>
      <c r="M74" s="108" t="s">
        <v>656</v>
      </c>
    </row>
    <row r="75" spans="1:13" ht="24.95" customHeight="1" x14ac:dyDescent="0.3">
      <c r="A75" s="105" t="str">
        <f>물량산출표!A94</f>
        <v>전선</v>
      </c>
      <c r="B75" s="105" t="str">
        <f>물량산출표!B94</f>
        <v>CV2.5SQ*4C</v>
      </c>
      <c r="C75" s="62" t="s">
        <v>514</v>
      </c>
      <c r="D75" s="146">
        <f>물량산출표!I94</f>
        <v>10</v>
      </c>
      <c r="E75" s="32">
        <f>단가조사표!J52</f>
        <v>1758</v>
      </c>
      <c r="F75" s="32">
        <f t="shared" si="13"/>
        <v>17580</v>
      </c>
      <c r="G75" s="32">
        <f>일위대가목록!F16</f>
        <v>7910</v>
      </c>
      <c r="H75" s="32">
        <f t="shared" si="14"/>
        <v>79100</v>
      </c>
      <c r="I75" s="68"/>
      <c r="J75" s="32"/>
      <c r="K75" s="68"/>
      <c r="L75" s="32">
        <f>F75+H75+J75</f>
        <v>96680</v>
      </c>
      <c r="M75" s="108" t="s">
        <v>656</v>
      </c>
    </row>
    <row r="76" spans="1:13" ht="24.95" customHeight="1" x14ac:dyDescent="0.3">
      <c r="A76" s="28" t="s">
        <v>28</v>
      </c>
      <c r="B76" s="28"/>
      <c r="C76" s="28"/>
      <c r="D76" s="28"/>
      <c r="E76" s="33"/>
      <c r="F76" s="33">
        <f>SUM(F62:F75)</f>
        <v>1112875</v>
      </c>
      <c r="G76" s="33"/>
      <c r="H76" s="33">
        <f>SUM(H62:H75)</f>
        <v>3824634</v>
      </c>
      <c r="I76" s="33"/>
      <c r="J76" s="33"/>
      <c r="K76" s="33"/>
      <c r="L76" s="33">
        <f>F76+H76+J76</f>
        <v>4937509</v>
      </c>
      <c r="M76" s="27"/>
    </row>
    <row r="77" spans="1:13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2" type="noConversion"/>
  <pageMargins left="0.70866141732283472" right="0.31496062992125984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ySplit="3" topLeftCell="A4" activePane="bottomLeft" state="frozen"/>
      <selection activeCell="H28" sqref="H28"/>
      <selection pane="bottomLeft" activeCell="B18" sqref="B18"/>
    </sheetView>
  </sheetViews>
  <sheetFormatPr defaultRowHeight="16.5" x14ac:dyDescent="0.3"/>
  <cols>
    <col min="1" max="1" width="7.25" style="1" bestFit="1" customWidth="1"/>
    <col min="2" max="2" width="28.125" style="1" customWidth="1"/>
    <col min="3" max="3" width="18.875" style="1" bestFit="1" customWidth="1"/>
    <col min="4" max="4" width="7.875" style="1" customWidth="1"/>
    <col min="5" max="5" width="13.125" style="1" customWidth="1"/>
    <col min="6" max="6" width="14.125" style="1" customWidth="1"/>
    <col min="7" max="7" width="13" style="1" customWidth="1"/>
    <col min="8" max="8" width="16" style="1" customWidth="1"/>
    <col min="9" max="9" width="8" style="1" customWidth="1"/>
    <col min="10" max="16384" width="9" style="1"/>
  </cols>
  <sheetData>
    <row r="1" spans="1:10" ht="28.5" customHeight="1" x14ac:dyDescent="0.3">
      <c r="A1" s="173" t="s">
        <v>48</v>
      </c>
      <c r="B1" s="174"/>
      <c r="C1" s="174"/>
      <c r="D1" s="174"/>
      <c r="E1" s="174"/>
      <c r="F1" s="174"/>
      <c r="G1" s="174"/>
      <c r="H1" s="174"/>
      <c r="I1" s="175"/>
    </row>
    <row r="2" spans="1:10" x14ac:dyDescent="0.3">
      <c r="A2" s="136" t="str">
        <f>표지!B6</f>
        <v>공사명  :  OOO주식회사 흡수에의한시설 OOOCMM 설치공사</v>
      </c>
      <c r="B2" s="137"/>
      <c r="C2" s="138"/>
      <c r="D2" s="138"/>
      <c r="E2" s="138"/>
      <c r="F2" s="138"/>
      <c r="G2" s="138"/>
      <c r="H2" s="138"/>
      <c r="I2" s="139"/>
    </row>
    <row r="3" spans="1:10" ht="30" customHeight="1" x14ac:dyDescent="0.3">
      <c r="A3" s="27"/>
      <c r="B3" s="26" t="s">
        <v>22</v>
      </c>
      <c r="C3" s="26" t="s">
        <v>11</v>
      </c>
      <c r="D3" s="26" t="s">
        <v>12</v>
      </c>
      <c r="E3" s="26" t="s">
        <v>14</v>
      </c>
      <c r="F3" s="26" t="s">
        <v>15</v>
      </c>
      <c r="G3" s="26" t="s">
        <v>16</v>
      </c>
      <c r="H3" s="26" t="s">
        <v>17</v>
      </c>
      <c r="I3" s="26" t="s">
        <v>18</v>
      </c>
    </row>
    <row r="4" spans="1:10" ht="24.95" customHeight="1" x14ac:dyDescent="0.3">
      <c r="A4" s="27" t="s">
        <v>279</v>
      </c>
      <c r="B4" s="27" t="str">
        <f>일위대가표!B5</f>
        <v>강재류 조립설치 (ton 당)</v>
      </c>
      <c r="C4" s="27"/>
      <c r="D4" s="27" t="s">
        <v>49</v>
      </c>
      <c r="E4" s="32">
        <f>일위대가표!G10</f>
        <v>0</v>
      </c>
      <c r="F4" s="32">
        <f>일위대가표!I10</f>
        <v>1401105</v>
      </c>
      <c r="G4" s="32">
        <f>일위대가표!L10</f>
        <v>0</v>
      </c>
      <c r="H4" s="32">
        <f>일위대가표!M10</f>
        <v>1401105</v>
      </c>
      <c r="I4" s="27" t="s">
        <v>24</v>
      </c>
      <c r="J4" s="1" t="s">
        <v>659</v>
      </c>
    </row>
    <row r="5" spans="1:10" ht="24.95" customHeight="1" x14ac:dyDescent="0.3">
      <c r="A5" s="27" t="s">
        <v>280</v>
      </c>
      <c r="B5" s="27" t="str">
        <f>일위대가표!B11</f>
        <v>PVC 설치 (5T) M2당</v>
      </c>
      <c r="C5" s="27"/>
      <c r="D5" s="74" t="s">
        <v>31</v>
      </c>
      <c r="E5" s="32">
        <f>일위대가표!G15</f>
        <v>1368</v>
      </c>
      <c r="F5" s="32">
        <f>일위대가표!I15</f>
        <v>188943</v>
      </c>
      <c r="G5" s="32">
        <f>일위대가표!K15</f>
        <v>0</v>
      </c>
      <c r="H5" s="32">
        <f>일위대가표!M15</f>
        <v>190311</v>
      </c>
      <c r="I5" s="27" t="s">
        <v>24</v>
      </c>
    </row>
    <row r="6" spans="1:10" ht="24.95" customHeight="1" x14ac:dyDescent="0.3">
      <c r="A6" s="74" t="s">
        <v>414</v>
      </c>
      <c r="B6" s="74" t="str">
        <f>일위대가표!B16</f>
        <v>PVC 설치 (6T) M2당</v>
      </c>
      <c r="C6" s="74"/>
      <c r="D6" s="74" t="s">
        <v>31</v>
      </c>
      <c r="E6" s="32">
        <f>일위대가표!G20</f>
        <v>1368</v>
      </c>
      <c r="F6" s="32">
        <f>일위대가표!I20</f>
        <v>239794</v>
      </c>
      <c r="G6" s="32">
        <f>일위대가표!K20</f>
        <v>0</v>
      </c>
      <c r="H6" s="32">
        <f>일위대가표!M20</f>
        <v>241162</v>
      </c>
      <c r="I6" s="74" t="s">
        <v>24</v>
      </c>
    </row>
    <row r="7" spans="1:10" ht="24.95" customHeight="1" x14ac:dyDescent="0.3">
      <c r="A7" s="74" t="s">
        <v>415</v>
      </c>
      <c r="B7" s="74" t="str">
        <f>일위대가표!B21</f>
        <v>PVC 설치 (10T) M2당</v>
      </c>
      <c r="C7" s="74"/>
      <c r="D7" s="74" t="s">
        <v>31</v>
      </c>
      <c r="E7" s="32">
        <f>일위대가표!G25</f>
        <v>2964</v>
      </c>
      <c r="F7" s="32">
        <f>일위대가표!I25</f>
        <v>416811</v>
      </c>
      <c r="G7" s="32">
        <f>일위대가표!K25</f>
        <v>0</v>
      </c>
      <c r="H7" s="32">
        <f>일위대가표!M25</f>
        <v>419775</v>
      </c>
      <c r="I7" s="74" t="s">
        <v>24</v>
      </c>
    </row>
    <row r="8" spans="1:10" ht="24.95" customHeight="1" x14ac:dyDescent="0.3">
      <c r="A8" s="74" t="s">
        <v>416</v>
      </c>
      <c r="B8" s="74" t="str">
        <f>일위대가표!B26</f>
        <v>PVC 설치 (15T) M2당</v>
      </c>
      <c r="C8" s="74"/>
      <c r="D8" s="74" t="s">
        <v>31</v>
      </c>
      <c r="E8" s="32">
        <f>일위대가표!G30</f>
        <v>2964</v>
      </c>
      <c r="F8" s="32">
        <f>일위대가표!I30</f>
        <v>642213</v>
      </c>
      <c r="G8" s="32">
        <f>일위대가표!K30</f>
        <v>0</v>
      </c>
      <c r="H8" s="32">
        <f>일위대가표!M30</f>
        <v>645177</v>
      </c>
      <c r="I8" s="74" t="s">
        <v>24</v>
      </c>
    </row>
    <row r="9" spans="1:10" ht="24.95" customHeight="1" x14ac:dyDescent="0.3">
      <c r="A9" s="74" t="s">
        <v>397</v>
      </c>
      <c r="B9" s="27" t="str">
        <f>일위대가표!B31</f>
        <v>FRP 적층 -M2당</v>
      </c>
      <c r="C9" s="27"/>
      <c r="D9" s="74" t="s">
        <v>31</v>
      </c>
      <c r="E9" s="32">
        <f>일위대가표!G41</f>
        <v>45322</v>
      </c>
      <c r="F9" s="32">
        <f>일위대가표!I41</f>
        <v>178578</v>
      </c>
      <c r="G9" s="32">
        <f>일위대가표!K41</f>
        <v>0</v>
      </c>
      <c r="H9" s="32">
        <f>일위대가표!M41</f>
        <v>223900</v>
      </c>
      <c r="I9" s="27" t="s">
        <v>24</v>
      </c>
    </row>
    <row r="10" spans="1:10" ht="24.95" customHeight="1" x14ac:dyDescent="0.3">
      <c r="A10" s="74" t="s">
        <v>410</v>
      </c>
      <c r="B10" s="27" t="str">
        <f>일위대가표!B42</f>
        <v>펌프설치(7.5KW 이하)</v>
      </c>
      <c r="C10" s="27"/>
      <c r="D10" s="74" t="s">
        <v>50</v>
      </c>
      <c r="E10" s="32">
        <f>일위대가표!G46</f>
        <v>0</v>
      </c>
      <c r="F10" s="32">
        <f>일위대가표!I46</f>
        <v>394940</v>
      </c>
      <c r="G10" s="32">
        <f>일위대가표!K46</f>
        <v>11848</v>
      </c>
      <c r="H10" s="32">
        <f>일위대가표!M46</f>
        <v>406788</v>
      </c>
      <c r="I10" s="27" t="s">
        <v>24</v>
      </c>
    </row>
    <row r="11" spans="1:10" ht="24.95" customHeight="1" x14ac:dyDescent="0.3">
      <c r="A11" s="74" t="s">
        <v>420</v>
      </c>
      <c r="B11" s="74" t="str">
        <f>일위대가표!B47</f>
        <v>송풍기 설치 (대 당, 편흡입 #6 )</v>
      </c>
      <c r="C11" s="74"/>
      <c r="D11" s="74" t="s">
        <v>50</v>
      </c>
      <c r="E11" s="32">
        <f>일위대가표!G50</f>
        <v>0</v>
      </c>
      <c r="F11" s="32">
        <f>일위대가표!I50</f>
        <v>683474</v>
      </c>
      <c r="G11" s="32">
        <f>일위대가표!K50</f>
        <v>0</v>
      </c>
      <c r="H11" s="32">
        <f>일위대가표!M50</f>
        <v>683474</v>
      </c>
      <c r="I11" s="74" t="s">
        <v>24</v>
      </c>
    </row>
    <row r="12" spans="1:10" ht="24.95" customHeight="1" x14ac:dyDescent="0.3">
      <c r="A12" s="74" t="s">
        <v>421</v>
      </c>
      <c r="B12" s="74" t="str">
        <f>일위대가표!B51</f>
        <v xml:space="preserve"> 전동기 설치(30KW이하)</v>
      </c>
      <c r="C12" s="74"/>
      <c r="D12" s="74" t="s">
        <v>50</v>
      </c>
      <c r="E12" s="32">
        <f>일위대가표!G53</f>
        <v>0</v>
      </c>
      <c r="F12" s="32">
        <f>일위대가표!I53</f>
        <v>618065</v>
      </c>
      <c r="G12" s="32">
        <f>일위대가표!K53</f>
        <v>0</v>
      </c>
      <c r="H12" s="32">
        <f>일위대가표!M53</f>
        <v>618065</v>
      </c>
      <c r="I12" s="74" t="s">
        <v>24</v>
      </c>
    </row>
    <row r="13" spans="1:10" ht="24.95" customHeight="1" x14ac:dyDescent="0.3">
      <c r="A13" s="74" t="s">
        <v>422</v>
      </c>
      <c r="B13" s="27" t="str">
        <f>일위대가표!B54</f>
        <v>녹막이페인트칠  2회 (㎡당)</v>
      </c>
      <c r="C13" s="27"/>
      <c r="D13" s="27" t="s">
        <v>51</v>
      </c>
      <c r="E13" s="32">
        <f>일위대가표!G60</f>
        <v>1905</v>
      </c>
      <c r="F13" s="32">
        <f>일위대가표!I60</f>
        <v>6787</v>
      </c>
      <c r="G13" s="32">
        <f>일위대가표!K60</f>
        <v>0</v>
      </c>
      <c r="H13" s="32">
        <f>일위대가표!M60</f>
        <v>8692</v>
      </c>
      <c r="I13" s="27" t="s">
        <v>24</v>
      </c>
    </row>
    <row r="14" spans="1:10" ht="24.95" customHeight="1" x14ac:dyDescent="0.3">
      <c r="A14" s="74" t="s">
        <v>423</v>
      </c>
      <c r="B14" s="74" t="str">
        <f>일위대가표!B61</f>
        <v>유성페인트칠  철재면2회 (㎡당)</v>
      </c>
      <c r="C14" s="74"/>
      <c r="D14" s="74" t="s">
        <v>31</v>
      </c>
      <c r="E14" s="32">
        <f>일위대가표!G67</f>
        <v>1100</v>
      </c>
      <c r="F14" s="32">
        <f>일위대가표!I67</f>
        <v>9050</v>
      </c>
      <c r="G14" s="32">
        <f>일위대가표!K67</f>
        <v>0</v>
      </c>
      <c r="H14" s="32">
        <f>일위대가표!M67</f>
        <v>10150</v>
      </c>
      <c r="I14" s="74" t="s">
        <v>24</v>
      </c>
    </row>
    <row r="15" spans="1:10" ht="24.95" customHeight="1" x14ac:dyDescent="0.3">
      <c r="A15" s="27" t="s">
        <v>282</v>
      </c>
      <c r="B15" s="96" t="str">
        <f>일위대가표!B68</f>
        <v>전선관 배관</v>
      </c>
      <c r="C15" s="96" t="str">
        <f>일위대가표!B69</f>
        <v>16mm 이하</v>
      </c>
      <c r="D15" s="27" t="s">
        <v>52</v>
      </c>
      <c r="E15" s="32">
        <f>일위대가표!G70</f>
        <v>0</v>
      </c>
      <c r="F15" s="32">
        <f>일위대가표!I70</f>
        <v>11985</v>
      </c>
      <c r="G15" s="32">
        <f>일위대가표!K70</f>
        <v>0</v>
      </c>
      <c r="H15" s="32">
        <f>일위대가표!M70</f>
        <v>11985</v>
      </c>
      <c r="I15" s="27" t="s">
        <v>24</v>
      </c>
    </row>
    <row r="16" spans="1:10" ht="24.95" customHeight="1" x14ac:dyDescent="0.3">
      <c r="A16" s="27" t="s">
        <v>284</v>
      </c>
      <c r="B16" s="27" t="str">
        <f>일위대가표!B71</f>
        <v>옥내배선</v>
      </c>
      <c r="C16" s="141" t="str">
        <f>일위대가표!B73</f>
        <v>16mm 이하</v>
      </c>
      <c r="D16" s="27" t="s">
        <v>52</v>
      </c>
      <c r="E16" s="32">
        <f>일위대가표!G74</f>
        <v>0</v>
      </c>
      <c r="F16" s="32">
        <f>일위대가표!I74</f>
        <v>7910</v>
      </c>
      <c r="G16" s="32">
        <f>일위대가표!K74</f>
        <v>0</v>
      </c>
      <c r="H16" s="32">
        <f>일위대가표!M74</f>
        <v>7910</v>
      </c>
      <c r="I16" s="27" t="s">
        <v>24</v>
      </c>
    </row>
    <row r="17" spans="1:9" ht="24.95" customHeight="1" x14ac:dyDescent="0.3">
      <c r="A17" s="27" t="s">
        <v>286</v>
      </c>
      <c r="B17" s="27" t="str">
        <f>일위대가표!B75</f>
        <v>전동기제어반설치</v>
      </c>
      <c r="C17" s="27" t="str">
        <f>일위대가표!B76</f>
        <v>전동기(11KW)-직입기동</v>
      </c>
      <c r="D17" s="27" t="s">
        <v>53</v>
      </c>
      <c r="E17" s="32">
        <f>일위대가표!G77</f>
        <v>0</v>
      </c>
      <c r="F17" s="32">
        <f>일위대가표!I77</f>
        <v>707162</v>
      </c>
      <c r="G17" s="32">
        <f>일위대가표!K77</f>
        <v>0</v>
      </c>
      <c r="H17" s="32">
        <f>일위대가표!M77</f>
        <v>249304</v>
      </c>
      <c r="I17" s="27" t="s">
        <v>24</v>
      </c>
    </row>
    <row r="18" spans="1:9" ht="24.95" customHeight="1" x14ac:dyDescent="0.3">
      <c r="A18" s="27" t="s">
        <v>288</v>
      </c>
      <c r="B18" s="27" t="str">
        <f>일위대가표!B78</f>
        <v>분전반 조립 및 설치</v>
      </c>
      <c r="C18" s="27" t="str">
        <f>일위대가표!B79</f>
        <v>세대분전반 설치(3회로)</v>
      </c>
      <c r="D18" s="27" t="s">
        <v>54</v>
      </c>
      <c r="E18" s="32">
        <f>일위대가표!G80</f>
        <v>0</v>
      </c>
      <c r="F18" s="32">
        <f>일위대가표!I80</f>
        <v>141432</v>
      </c>
      <c r="G18" s="32">
        <f>일위대가표!K80</f>
        <v>0</v>
      </c>
      <c r="H18" s="32">
        <f>일위대가표!M80</f>
        <v>141432</v>
      </c>
      <c r="I18" s="27" t="s">
        <v>24</v>
      </c>
    </row>
    <row r="19" spans="1:9" ht="24.95" customHeight="1" x14ac:dyDescent="0.3">
      <c r="A19" s="27" t="s">
        <v>290</v>
      </c>
      <c r="B19" s="27" t="str">
        <f>일위대가표!B81</f>
        <v>차단기 및 개폐기 설치</v>
      </c>
      <c r="C19" s="27" t="str">
        <f>일위대가표!B83</f>
        <v>배선용 차단기100AF</v>
      </c>
      <c r="D19" s="27" t="s">
        <v>55</v>
      </c>
      <c r="E19" s="32">
        <f>일위대가표!G84</f>
        <v>0</v>
      </c>
      <c r="F19" s="32">
        <f>일위대가표!I84</f>
        <v>148623</v>
      </c>
      <c r="G19" s="32">
        <f>일위대가표!K84</f>
        <v>0</v>
      </c>
      <c r="H19" s="32">
        <f>일위대가표!M84</f>
        <v>86297</v>
      </c>
      <c r="I19" s="27" t="s">
        <v>24</v>
      </c>
    </row>
    <row r="20" spans="1:9" ht="24.95" customHeight="1" x14ac:dyDescent="0.3">
      <c r="A20" s="105" t="s">
        <v>531</v>
      </c>
      <c r="B20" s="105" t="str">
        <f>일위대가표!B85</f>
        <v>차단기 및 개폐기 설치</v>
      </c>
      <c r="C20" s="105" t="str">
        <f>일위대가표!B86</f>
        <v>마크네트 30AF</v>
      </c>
      <c r="D20" s="105" t="s">
        <v>52</v>
      </c>
      <c r="E20" s="32">
        <f>일위대가표!G92</f>
        <v>0</v>
      </c>
      <c r="F20" s="32">
        <f>일위대가표!I89</f>
        <v>323615</v>
      </c>
      <c r="G20" s="32">
        <f>일위대가표!K89</f>
        <v>0</v>
      </c>
      <c r="H20" s="32">
        <f>일위대가표!M89</f>
        <v>323615</v>
      </c>
      <c r="I20" s="105" t="s">
        <v>24</v>
      </c>
    </row>
    <row r="21" spans="1:9" ht="24.95" customHeight="1" x14ac:dyDescent="0.3">
      <c r="A21" s="62" t="s">
        <v>541</v>
      </c>
      <c r="B21" s="105" t="str">
        <f>일위대가표!B90</f>
        <v xml:space="preserve">전력량계 및 부속장치 설치 </v>
      </c>
      <c r="C21" s="105" t="str">
        <f>일위대가표!B91</f>
        <v>CT 저고압</v>
      </c>
      <c r="D21" s="62" t="s">
        <v>509</v>
      </c>
      <c r="E21" s="32">
        <f>일위대가표!G92</f>
        <v>0</v>
      </c>
      <c r="F21" s="32">
        <f>일위대가표!I92</f>
        <v>95886</v>
      </c>
      <c r="G21" s="32">
        <f>일위대가표!K92</f>
        <v>0</v>
      </c>
      <c r="H21" s="32">
        <f>일위대가표!M92</f>
        <v>95886</v>
      </c>
      <c r="I21" s="62"/>
    </row>
    <row r="22" spans="1:9" ht="24.95" customHeight="1" x14ac:dyDescent="0.3">
      <c r="A22" s="118" t="s">
        <v>542</v>
      </c>
      <c r="B22" s="96" t="str">
        <f>일위대가표!B93</f>
        <v>크레인(150ton)</v>
      </c>
      <c r="C22" s="96" t="str">
        <f>일위대가표!B94</f>
        <v>150TON</v>
      </c>
      <c r="D22" s="72" t="s">
        <v>27</v>
      </c>
      <c r="E22" s="32">
        <f>일위대가표!G98</f>
        <v>190454</v>
      </c>
      <c r="F22" s="32">
        <f>일위대가표!I98</f>
        <v>42267</v>
      </c>
      <c r="G22" s="32">
        <f>일위대가표!K98</f>
        <v>0</v>
      </c>
      <c r="H22" s="32">
        <f>일위대가표!M98</f>
        <v>151235</v>
      </c>
      <c r="I22" s="72" t="s">
        <v>24</v>
      </c>
    </row>
    <row r="23" spans="1:9" x14ac:dyDescent="0.3">
      <c r="A23" s="38"/>
      <c r="B23" s="5"/>
      <c r="C23" s="2"/>
      <c r="D23" s="2"/>
      <c r="E23" s="2"/>
      <c r="F23" s="2"/>
      <c r="G23" s="2"/>
      <c r="H23" s="2"/>
      <c r="I23" s="3" t="s">
        <v>24</v>
      </c>
    </row>
    <row r="24" spans="1:9" x14ac:dyDescent="0.3">
      <c r="A24" s="7"/>
      <c r="B24" s="7"/>
      <c r="C24" s="2"/>
      <c r="D24" s="2"/>
      <c r="E24" s="2"/>
      <c r="F24" s="2"/>
      <c r="G24" s="2"/>
      <c r="H24" s="2"/>
      <c r="I24" s="7" t="s">
        <v>24</v>
      </c>
    </row>
    <row r="25" spans="1:9" x14ac:dyDescent="0.3">
      <c r="A25" s="7"/>
      <c r="B25" s="7"/>
      <c r="C25" s="2"/>
      <c r="D25" s="2"/>
      <c r="E25" s="2"/>
      <c r="F25" s="2"/>
      <c r="G25" s="2"/>
      <c r="H25" s="2"/>
      <c r="I25" s="7" t="s">
        <v>24</v>
      </c>
    </row>
    <row r="26" spans="1:9" x14ac:dyDescent="0.3">
      <c r="A26" s="7"/>
      <c r="B26" s="7"/>
      <c r="C26" s="2"/>
      <c r="D26" s="2"/>
      <c r="E26" s="2"/>
      <c r="F26" s="2"/>
      <c r="G26" s="2"/>
      <c r="H26" s="2"/>
      <c r="I26" s="7"/>
    </row>
    <row r="27" spans="1:9" x14ac:dyDescent="0.3">
      <c r="A27" s="7"/>
      <c r="B27" s="7"/>
      <c r="C27" s="2"/>
      <c r="D27" s="2"/>
      <c r="E27" s="2"/>
      <c r="F27" s="2"/>
      <c r="G27" s="2"/>
      <c r="H27" s="2"/>
      <c r="I27" s="7"/>
    </row>
    <row r="28" spans="1:9" x14ac:dyDescent="0.3">
      <c r="A28" s="7"/>
      <c r="B28" s="7"/>
      <c r="C28" s="2"/>
      <c r="D28" s="2"/>
      <c r="E28" s="2"/>
      <c r="F28" s="2"/>
      <c r="G28" s="2"/>
      <c r="H28" s="2"/>
      <c r="I28" s="7"/>
    </row>
  </sheetData>
  <mergeCells count="1">
    <mergeCell ref="A1:I1"/>
  </mergeCells>
  <phoneticPr fontId="1" type="noConversion"/>
  <pageMargins left="0.43307086614173229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4"/>
  <sheetViews>
    <sheetView workbookViewId="0">
      <pane ySplit="4" topLeftCell="A68" activePane="bottomLeft" state="frozen"/>
      <selection activeCell="H28" sqref="H28"/>
      <selection pane="bottomLeft" activeCell="N75" sqref="N75"/>
    </sheetView>
  </sheetViews>
  <sheetFormatPr defaultRowHeight="12" x14ac:dyDescent="0.3"/>
  <cols>
    <col min="1" max="1" width="6.625" style="23" customWidth="1"/>
    <col min="2" max="2" width="24.25" style="23" customWidth="1"/>
    <col min="3" max="3" width="20.125" style="23" customWidth="1"/>
    <col min="4" max="4" width="5.75" style="23" customWidth="1"/>
    <col min="5" max="5" width="6.75" style="23" customWidth="1"/>
    <col min="6" max="6" width="11.5" style="23" customWidth="1"/>
    <col min="7" max="7" width="12" style="23" customWidth="1"/>
    <col min="8" max="8" width="10.75" style="23" customWidth="1"/>
    <col min="9" max="9" width="12" style="23" customWidth="1"/>
    <col min="10" max="10" width="10.25" style="23" customWidth="1"/>
    <col min="11" max="11" width="12" style="23" customWidth="1"/>
    <col min="12" max="12" width="12.25" style="23" customWidth="1"/>
    <col min="13" max="13" width="12" style="23" customWidth="1"/>
    <col min="14" max="14" width="12.875" style="23" customWidth="1"/>
    <col min="15" max="15" width="5.875" style="23" customWidth="1"/>
    <col min="16" max="16384" width="9" style="23"/>
  </cols>
  <sheetData>
    <row r="1" spans="1:16" ht="20.25" x14ac:dyDescent="0.3">
      <c r="A1" s="173" t="s">
        <v>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1:16" ht="13.5" x14ac:dyDescent="0.3">
      <c r="A2" s="21" t="str">
        <f>표지!B6</f>
        <v>공사명  :  OOO주식회사 흡수에의한시설 OOOCMM 설치공사</v>
      </c>
      <c r="B2" s="37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5"/>
    </row>
    <row r="3" spans="1:16" ht="20.100000000000001" customHeight="1" x14ac:dyDescent="0.3">
      <c r="A3" s="179" t="s">
        <v>278</v>
      </c>
      <c r="B3" s="181" t="s">
        <v>22</v>
      </c>
      <c r="C3" s="181" t="s">
        <v>11</v>
      </c>
      <c r="D3" s="181" t="s">
        <v>12</v>
      </c>
      <c r="E3" s="181" t="s">
        <v>13</v>
      </c>
      <c r="F3" s="172" t="s">
        <v>14</v>
      </c>
      <c r="G3" s="172"/>
      <c r="H3" s="172" t="s">
        <v>15</v>
      </c>
      <c r="I3" s="172"/>
      <c r="J3" s="172" t="s">
        <v>16</v>
      </c>
      <c r="K3" s="172"/>
      <c r="L3" s="172" t="s">
        <v>17</v>
      </c>
      <c r="M3" s="172"/>
      <c r="N3" s="26" t="s">
        <v>86</v>
      </c>
    </row>
    <row r="4" spans="1:16" ht="20.100000000000001" customHeight="1" x14ac:dyDescent="0.3">
      <c r="A4" s="180"/>
      <c r="B4" s="181"/>
      <c r="C4" s="181"/>
      <c r="D4" s="181"/>
      <c r="E4" s="181"/>
      <c r="F4" s="26" t="s">
        <v>19</v>
      </c>
      <c r="G4" s="26" t="s">
        <v>20</v>
      </c>
      <c r="H4" s="26" t="s">
        <v>19</v>
      </c>
      <c r="I4" s="26" t="s">
        <v>20</v>
      </c>
      <c r="J4" s="26" t="s">
        <v>19</v>
      </c>
      <c r="K4" s="26" t="s">
        <v>20</v>
      </c>
      <c r="L4" s="26" t="s">
        <v>19</v>
      </c>
      <c r="M4" s="26" t="s">
        <v>20</v>
      </c>
      <c r="N4" s="26"/>
    </row>
    <row r="5" spans="1:16" ht="24.95" customHeight="1" x14ac:dyDescent="0.3">
      <c r="A5" s="73" t="s">
        <v>367</v>
      </c>
      <c r="B5" s="74" t="s">
        <v>293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22" t="s">
        <v>373</v>
      </c>
      <c r="O5" s="23" t="s">
        <v>302</v>
      </c>
      <c r="P5" s="23" t="s">
        <v>678</v>
      </c>
    </row>
    <row r="6" spans="1:16" ht="24.95" customHeight="1" x14ac:dyDescent="0.3">
      <c r="A6" s="74"/>
      <c r="B6" s="74" t="s">
        <v>56</v>
      </c>
      <c r="C6" s="74" t="s">
        <v>368</v>
      </c>
      <c r="D6" s="74" t="s">
        <v>369</v>
      </c>
      <c r="E6" s="74">
        <v>0.3</v>
      </c>
      <c r="F6" s="74"/>
      <c r="G6" s="32">
        <v>0</v>
      </c>
      <c r="H6" s="89">
        <v>190486</v>
      </c>
      <c r="I6" s="32">
        <v>57145</v>
      </c>
      <c r="J6" s="74"/>
      <c r="K6" s="32">
        <v>0</v>
      </c>
      <c r="L6" s="32">
        <v>190486</v>
      </c>
      <c r="M6" s="32">
        <v>57145</v>
      </c>
      <c r="N6" s="22"/>
      <c r="O6" s="23" t="s">
        <v>303</v>
      </c>
      <c r="P6" s="23" t="s">
        <v>657</v>
      </c>
    </row>
    <row r="7" spans="1:16" ht="24.95" customHeight="1" x14ac:dyDescent="0.3">
      <c r="A7" s="74"/>
      <c r="B7" s="74" t="s">
        <v>56</v>
      </c>
      <c r="C7" s="74" t="s">
        <v>370</v>
      </c>
      <c r="D7" s="74" t="s">
        <v>369</v>
      </c>
      <c r="E7" s="74">
        <v>4.9800000000000004</v>
      </c>
      <c r="F7" s="74"/>
      <c r="G7" s="32">
        <v>0</v>
      </c>
      <c r="H7" s="89">
        <v>203456</v>
      </c>
      <c r="I7" s="32">
        <v>1013210</v>
      </c>
      <c r="J7" s="74"/>
      <c r="K7" s="32">
        <v>0</v>
      </c>
      <c r="L7" s="32">
        <v>203456</v>
      </c>
      <c r="M7" s="32">
        <v>1013210</v>
      </c>
      <c r="N7" s="22"/>
      <c r="O7" s="23" t="s">
        <v>664</v>
      </c>
      <c r="P7" s="23" t="s">
        <v>658</v>
      </c>
    </row>
    <row r="8" spans="1:16" ht="24.95" customHeight="1" x14ac:dyDescent="0.3">
      <c r="A8" s="74"/>
      <c r="B8" s="74" t="s">
        <v>56</v>
      </c>
      <c r="C8" s="74" t="s">
        <v>371</v>
      </c>
      <c r="D8" s="74" t="s">
        <v>369</v>
      </c>
      <c r="E8" s="74">
        <v>0.82</v>
      </c>
      <c r="F8" s="74"/>
      <c r="G8" s="32">
        <v>0</v>
      </c>
      <c r="H8" s="89">
        <v>185702</v>
      </c>
      <c r="I8" s="32">
        <v>152275</v>
      </c>
      <c r="J8" s="74"/>
      <c r="K8" s="32">
        <v>0</v>
      </c>
      <c r="L8" s="32">
        <v>185702</v>
      </c>
      <c r="M8" s="32">
        <v>152275</v>
      </c>
      <c r="N8" s="22"/>
    </row>
    <row r="9" spans="1:16" ht="24.95" customHeight="1" x14ac:dyDescent="0.3">
      <c r="A9" s="74"/>
      <c r="B9" s="74" t="s">
        <v>56</v>
      </c>
      <c r="C9" s="74" t="s">
        <v>372</v>
      </c>
      <c r="D9" s="74" t="s">
        <v>369</v>
      </c>
      <c r="E9" s="74">
        <v>0.8</v>
      </c>
      <c r="F9" s="74"/>
      <c r="G9" s="32">
        <v>0</v>
      </c>
      <c r="H9" s="89">
        <v>223094</v>
      </c>
      <c r="I9" s="32">
        <v>178475</v>
      </c>
      <c r="J9" s="74"/>
      <c r="K9" s="32">
        <v>0</v>
      </c>
      <c r="L9" s="32">
        <v>223094</v>
      </c>
      <c r="M9" s="32">
        <v>178475</v>
      </c>
      <c r="N9" s="22"/>
    </row>
    <row r="10" spans="1:16" s="35" customFormat="1" ht="24.95" customHeight="1" x14ac:dyDescent="0.3">
      <c r="A10" s="28"/>
      <c r="B10" s="28" t="s">
        <v>28</v>
      </c>
      <c r="C10" s="28"/>
      <c r="D10" s="28"/>
      <c r="E10" s="28"/>
      <c r="F10" s="28"/>
      <c r="G10" s="36">
        <f>INT(SUM(G6:G9))</f>
        <v>0</v>
      </c>
      <c r="H10" s="33"/>
      <c r="I10" s="36">
        <f>INT(SUM(I6:I9))</f>
        <v>1401105</v>
      </c>
      <c r="J10" s="28"/>
      <c r="K10" s="36">
        <f>SUM(K6:K9)</f>
        <v>0</v>
      </c>
      <c r="L10" s="28"/>
      <c r="M10" s="36">
        <f>INT(SUM(M6:M9))</f>
        <v>1401105</v>
      </c>
      <c r="N10" s="34"/>
      <c r="O10" s="23"/>
      <c r="P10" s="23"/>
    </row>
    <row r="11" spans="1:16" s="35" customFormat="1" ht="24.95" customHeight="1" x14ac:dyDescent="0.3">
      <c r="A11" s="74" t="s">
        <v>381</v>
      </c>
      <c r="B11" s="74" t="s">
        <v>390</v>
      </c>
      <c r="C11" s="28"/>
      <c r="D11" s="28"/>
      <c r="E11" s="28"/>
      <c r="F11" s="28"/>
      <c r="G11" s="36"/>
      <c r="H11" s="33"/>
      <c r="I11" s="36"/>
      <c r="J11" s="28"/>
      <c r="K11" s="36"/>
      <c r="L11" s="28"/>
      <c r="M11" s="36"/>
      <c r="N11" s="22" t="s">
        <v>417</v>
      </c>
      <c r="O11" s="23"/>
      <c r="P11" s="23"/>
    </row>
    <row r="12" spans="1:16" s="35" customFormat="1" ht="24.95" customHeight="1" x14ac:dyDescent="0.3">
      <c r="A12" s="28"/>
      <c r="B12" s="74" t="s">
        <v>386</v>
      </c>
      <c r="C12" s="28"/>
      <c r="D12" s="74"/>
      <c r="E12" s="74">
        <v>1</v>
      </c>
      <c r="F12" s="74">
        <v>1368</v>
      </c>
      <c r="G12" s="36">
        <v>1368</v>
      </c>
      <c r="H12" s="33"/>
      <c r="I12" s="36"/>
      <c r="J12" s="28"/>
      <c r="K12" s="36"/>
      <c r="L12" s="32">
        <v>1368</v>
      </c>
      <c r="M12" s="32">
        <v>1368</v>
      </c>
      <c r="N12" s="34"/>
      <c r="O12" s="23"/>
      <c r="P12" s="23"/>
    </row>
    <row r="13" spans="1:16" s="35" customFormat="1" ht="24.95" customHeight="1" x14ac:dyDescent="0.3">
      <c r="A13" s="28"/>
      <c r="B13" s="74" t="s">
        <v>387</v>
      </c>
      <c r="C13" s="74" t="s">
        <v>388</v>
      </c>
      <c r="D13" s="74" t="s">
        <v>380</v>
      </c>
      <c r="E13" s="74">
        <v>0.38100000000000001</v>
      </c>
      <c r="F13" s="28"/>
      <c r="G13" s="36"/>
      <c r="H13" s="89">
        <v>223094</v>
      </c>
      <c r="I13" s="32">
        <v>84998</v>
      </c>
      <c r="J13" s="28"/>
      <c r="K13" s="36"/>
      <c r="L13" s="32">
        <v>223094</v>
      </c>
      <c r="M13" s="32">
        <v>84998</v>
      </c>
      <c r="N13" s="34"/>
      <c r="O13" s="23"/>
      <c r="P13" s="23"/>
    </row>
    <row r="14" spans="1:16" s="35" customFormat="1" ht="24.95" customHeight="1" x14ac:dyDescent="0.3">
      <c r="A14" s="28"/>
      <c r="B14" s="74" t="s">
        <v>387</v>
      </c>
      <c r="C14" s="74" t="s">
        <v>389</v>
      </c>
      <c r="D14" s="74" t="s">
        <v>380</v>
      </c>
      <c r="E14" s="74">
        <v>0.61599999999999999</v>
      </c>
      <c r="F14" s="28"/>
      <c r="G14" s="36"/>
      <c r="H14" s="32">
        <v>168742</v>
      </c>
      <c r="I14" s="32">
        <v>103945</v>
      </c>
      <c r="J14" s="28"/>
      <c r="K14" s="36"/>
      <c r="L14" s="32">
        <v>168742</v>
      </c>
      <c r="M14" s="32">
        <v>103945</v>
      </c>
      <c r="N14" s="34"/>
      <c r="O14" s="23"/>
      <c r="P14" s="23"/>
    </row>
    <row r="15" spans="1:16" s="35" customFormat="1" ht="24.95" customHeight="1" x14ac:dyDescent="0.3">
      <c r="A15" s="28"/>
      <c r="B15" s="28" t="s">
        <v>28</v>
      </c>
      <c r="C15" s="28"/>
      <c r="D15" s="28"/>
      <c r="E15" s="28"/>
      <c r="F15" s="28"/>
      <c r="G15" s="36">
        <f>INT(SUM(G12:G14))</f>
        <v>1368</v>
      </c>
      <c r="H15" s="33"/>
      <c r="I15" s="36">
        <f>INT(SUM(I12:I14))</f>
        <v>188943</v>
      </c>
      <c r="J15" s="28"/>
      <c r="K15" s="36">
        <f>SUM(K12:K14)</f>
        <v>0</v>
      </c>
      <c r="L15" s="28"/>
      <c r="M15" s="36">
        <f>INT(SUM(M12:M14))</f>
        <v>190311</v>
      </c>
      <c r="N15" s="34"/>
      <c r="O15" s="23"/>
      <c r="P15" s="157"/>
    </row>
    <row r="16" spans="1:16" s="35" customFormat="1" ht="24.95" customHeight="1" x14ac:dyDescent="0.3">
      <c r="A16" s="74" t="s">
        <v>392</v>
      </c>
      <c r="B16" s="74" t="s">
        <v>391</v>
      </c>
      <c r="C16" s="28"/>
      <c r="D16" s="28"/>
      <c r="E16" s="28"/>
      <c r="F16" s="28"/>
      <c r="G16" s="36"/>
      <c r="H16" s="33"/>
      <c r="I16" s="36"/>
      <c r="J16" s="28"/>
      <c r="K16" s="36"/>
      <c r="L16" s="28"/>
      <c r="M16" s="36"/>
      <c r="N16" s="22" t="s">
        <v>417</v>
      </c>
      <c r="O16" s="23"/>
      <c r="P16" s="157"/>
    </row>
    <row r="17" spans="1:16" s="35" customFormat="1" ht="24.95" customHeight="1" x14ac:dyDescent="0.3">
      <c r="A17" s="28"/>
      <c r="B17" s="74" t="s">
        <v>386</v>
      </c>
      <c r="C17" s="28"/>
      <c r="D17" s="74"/>
      <c r="E17" s="74">
        <v>1</v>
      </c>
      <c r="F17" s="32">
        <v>1368</v>
      </c>
      <c r="G17" s="36">
        <v>1368</v>
      </c>
      <c r="H17" s="33"/>
      <c r="I17" s="36"/>
      <c r="J17" s="28"/>
      <c r="K17" s="36"/>
      <c r="L17" s="32">
        <v>1368</v>
      </c>
      <c r="M17" s="32">
        <v>1368</v>
      </c>
      <c r="N17" s="34"/>
      <c r="O17" s="23"/>
      <c r="P17" s="157"/>
    </row>
    <row r="18" spans="1:16" s="35" customFormat="1" ht="24.95" customHeight="1" x14ac:dyDescent="0.3">
      <c r="A18" s="28"/>
      <c r="B18" s="74" t="s">
        <v>387</v>
      </c>
      <c r="C18" s="74" t="s">
        <v>388</v>
      </c>
      <c r="D18" s="74" t="s">
        <v>380</v>
      </c>
      <c r="E18" s="74">
        <v>0.58699999999999997</v>
      </c>
      <c r="F18" s="28"/>
      <c r="G18" s="36"/>
      <c r="H18" s="89">
        <v>223094</v>
      </c>
      <c r="I18" s="32">
        <v>130956</v>
      </c>
      <c r="J18" s="28"/>
      <c r="K18" s="36"/>
      <c r="L18" s="32">
        <v>223094</v>
      </c>
      <c r="M18" s="32">
        <v>130956</v>
      </c>
      <c r="N18" s="34"/>
      <c r="O18" s="23"/>
      <c r="P18" s="23"/>
    </row>
    <row r="19" spans="1:16" s="35" customFormat="1" ht="24.95" customHeight="1" x14ac:dyDescent="0.3">
      <c r="A19" s="28"/>
      <c r="B19" s="74" t="s">
        <v>387</v>
      </c>
      <c r="C19" s="74" t="s">
        <v>389</v>
      </c>
      <c r="D19" s="74" t="s">
        <v>380</v>
      </c>
      <c r="E19" s="74">
        <v>0.64500000000000002</v>
      </c>
      <c r="F19" s="28"/>
      <c r="G19" s="36"/>
      <c r="H19" s="32">
        <v>168742</v>
      </c>
      <c r="I19" s="32">
        <v>108838</v>
      </c>
      <c r="J19" s="28"/>
      <c r="K19" s="36"/>
      <c r="L19" s="32">
        <v>168742</v>
      </c>
      <c r="M19" s="32">
        <v>108838</v>
      </c>
      <c r="N19" s="34"/>
      <c r="O19" s="23"/>
      <c r="P19" s="23"/>
    </row>
    <row r="20" spans="1:16" s="35" customFormat="1" ht="24.95" customHeight="1" x14ac:dyDescent="0.3">
      <c r="A20" s="28"/>
      <c r="B20" s="28" t="s">
        <v>28</v>
      </c>
      <c r="C20" s="28"/>
      <c r="D20" s="28"/>
      <c r="E20" s="28"/>
      <c r="F20" s="28"/>
      <c r="G20" s="36">
        <f>INT(SUM(G17:G19))</f>
        <v>1368</v>
      </c>
      <c r="H20" s="33"/>
      <c r="I20" s="36">
        <f>INT(SUM(I17:I19))</f>
        <v>239794</v>
      </c>
      <c r="J20" s="28"/>
      <c r="K20" s="36">
        <v>0</v>
      </c>
      <c r="L20" s="28"/>
      <c r="M20" s="36">
        <f>INT(SUM(M17:M19))</f>
        <v>241162</v>
      </c>
      <c r="N20" s="34"/>
    </row>
    <row r="21" spans="1:16" s="35" customFormat="1" ht="24.95" customHeight="1" x14ac:dyDescent="0.3">
      <c r="A21" s="74" t="s">
        <v>393</v>
      </c>
      <c r="B21" s="74" t="s">
        <v>394</v>
      </c>
      <c r="C21" s="28"/>
      <c r="D21" s="28"/>
      <c r="E21" s="28"/>
      <c r="F21" s="28"/>
      <c r="G21" s="36"/>
      <c r="H21" s="33"/>
      <c r="I21" s="36"/>
      <c r="J21" s="28"/>
      <c r="K21" s="36"/>
      <c r="L21" s="28"/>
      <c r="M21" s="36"/>
      <c r="N21" s="22" t="s">
        <v>417</v>
      </c>
    </row>
    <row r="22" spans="1:16" s="35" customFormat="1" ht="24.95" customHeight="1" x14ac:dyDescent="0.3">
      <c r="A22" s="28"/>
      <c r="B22" s="74" t="s">
        <v>386</v>
      </c>
      <c r="C22" s="28"/>
      <c r="D22" s="74"/>
      <c r="E22" s="74">
        <v>1</v>
      </c>
      <c r="F22" s="32">
        <v>2964</v>
      </c>
      <c r="G22" s="36">
        <v>2964</v>
      </c>
      <c r="H22" s="33"/>
      <c r="I22" s="36"/>
      <c r="J22" s="28"/>
      <c r="K22" s="36"/>
      <c r="L22" s="32">
        <v>2964</v>
      </c>
      <c r="M22" s="32">
        <v>2964</v>
      </c>
      <c r="N22" s="34"/>
    </row>
    <row r="23" spans="1:16" s="35" customFormat="1" ht="24.95" customHeight="1" x14ac:dyDescent="0.3">
      <c r="A23" s="28"/>
      <c r="B23" s="74" t="s">
        <v>387</v>
      </c>
      <c r="C23" s="74" t="s">
        <v>388</v>
      </c>
      <c r="D23" s="74" t="s">
        <v>380</v>
      </c>
      <c r="E23" s="74">
        <v>1.177</v>
      </c>
      <c r="F23" s="28"/>
      <c r="G23" s="36"/>
      <c r="H23" s="32">
        <v>223094</v>
      </c>
      <c r="I23" s="32">
        <v>262581</v>
      </c>
      <c r="J23" s="28"/>
      <c r="K23" s="36"/>
      <c r="L23" s="32">
        <v>223094</v>
      </c>
      <c r="M23" s="32">
        <v>262581</v>
      </c>
      <c r="N23" s="34"/>
    </row>
    <row r="24" spans="1:16" s="35" customFormat="1" ht="24.95" customHeight="1" x14ac:dyDescent="0.3">
      <c r="A24" s="28"/>
      <c r="B24" s="74" t="s">
        <v>387</v>
      </c>
      <c r="C24" s="74" t="s">
        <v>389</v>
      </c>
      <c r="D24" s="74" t="s">
        <v>380</v>
      </c>
      <c r="E24" s="74">
        <v>0.91400000000000003</v>
      </c>
      <c r="F24" s="28"/>
      <c r="G24" s="36"/>
      <c r="H24" s="32">
        <v>168742</v>
      </c>
      <c r="I24" s="32">
        <v>154230</v>
      </c>
      <c r="J24" s="28"/>
      <c r="K24" s="36"/>
      <c r="L24" s="32">
        <v>168742</v>
      </c>
      <c r="M24" s="32">
        <v>154230</v>
      </c>
      <c r="N24" s="34"/>
    </row>
    <row r="25" spans="1:16" s="35" customFormat="1" ht="24.95" customHeight="1" x14ac:dyDescent="0.3">
      <c r="A25" s="28"/>
      <c r="B25" s="28" t="s">
        <v>28</v>
      </c>
      <c r="C25" s="28"/>
      <c r="D25" s="28"/>
      <c r="E25" s="28"/>
      <c r="F25" s="28"/>
      <c r="G25" s="36">
        <f>INT(SUM(G22:G24))</f>
        <v>2964</v>
      </c>
      <c r="H25" s="33"/>
      <c r="I25" s="36">
        <f>INT(SUM(I22:I24))</f>
        <v>416811</v>
      </c>
      <c r="J25" s="28"/>
      <c r="K25" s="36"/>
      <c r="L25" s="28"/>
      <c r="M25" s="36">
        <f>INT(SUM(M22:M24))</f>
        <v>419775</v>
      </c>
      <c r="N25" s="34"/>
    </row>
    <row r="26" spans="1:16" s="35" customFormat="1" ht="24.95" customHeight="1" x14ac:dyDescent="0.3">
      <c r="A26" s="74" t="s">
        <v>395</v>
      </c>
      <c r="B26" s="74" t="s">
        <v>396</v>
      </c>
      <c r="C26" s="28"/>
      <c r="D26" s="28"/>
      <c r="E26" s="28"/>
      <c r="F26" s="28"/>
      <c r="G26" s="36"/>
      <c r="H26" s="33"/>
      <c r="I26" s="36"/>
      <c r="J26" s="28"/>
      <c r="K26" s="36"/>
      <c r="L26" s="28"/>
      <c r="M26" s="36"/>
      <c r="N26" s="22" t="s">
        <v>417</v>
      </c>
    </row>
    <row r="27" spans="1:16" s="35" customFormat="1" ht="24.95" customHeight="1" x14ac:dyDescent="0.3">
      <c r="A27" s="28"/>
      <c r="B27" s="74" t="s">
        <v>386</v>
      </c>
      <c r="C27" s="28"/>
      <c r="D27" s="74"/>
      <c r="E27" s="74">
        <v>1</v>
      </c>
      <c r="F27" s="32">
        <v>2964</v>
      </c>
      <c r="G27" s="80">
        <v>2964</v>
      </c>
      <c r="H27" s="33"/>
      <c r="I27" s="36"/>
      <c r="J27" s="28"/>
      <c r="K27" s="36"/>
      <c r="L27" s="32">
        <v>2964</v>
      </c>
      <c r="M27" s="32">
        <v>2964</v>
      </c>
      <c r="N27" s="34"/>
    </row>
    <row r="28" spans="1:16" s="35" customFormat="1" ht="24.95" customHeight="1" x14ac:dyDescent="0.3">
      <c r="A28" s="28"/>
      <c r="B28" s="74" t="s">
        <v>387</v>
      </c>
      <c r="C28" s="74" t="s">
        <v>388</v>
      </c>
      <c r="D28" s="74" t="s">
        <v>380</v>
      </c>
      <c r="E28" s="74">
        <v>1.968</v>
      </c>
      <c r="F28" s="28"/>
      <c r="G28" s="36"/>
      <c r="H28" s="32">
        <v>223094</v>
      </c>
      <c r="I28" s="32">
        <v>439048</v>
      </c>
      <c r="J28" s="28"/>
      <c r="K28" s="36"/>
      <c r="L28" s="32">
        <v>223094</v>
      </c>
      <c r="M28" s="32">
        <v>439048</v>
      </c>
      <c r="N28" s="34"/>
    </row>
    <row r="29" spans="1:16" s="35" customFormat="1" ht="24.95" customHeight="1" x14ac:dyDescent="0.3">
      <c r="A29" s="28"/>
      <c r="B29" s="74" t="s">
        <v>387</v>
      </c>
      <c r="C29" s="74" t="s">
        <v>389</v>
      </c>
      <c r="D29" s="74" t="s">
        <v>380</v>
      </c>
      <c r="E29" s="74">
        <v>1.204</v>
      </c>
      <c r="F29" s="28"/>
      <c r="G29" s="36"/>
      <c r="H29" s="32">
        <v>168742</v>
      </c>
      <c r="I29" s="32">
        <v>203165</v>
      </c>
      <c r="J29" s="28"/>
      <c r="K29" s="36"/>
      <c r="L29" s="32">
        <v>168742</v>
      </c>
      <c r="M29" s="32">
        <v>203165</v>
      </c>
      <c r="N29" s="34"/>
    </row>
    <row r="30" spans="1:16" s="35" customFormat="1" ht="24.95" customHeight="1" x14ac:dyDescent="0.3">
      <c r="A30" s="28"/>
      <c r="B30" s="28" t="s">
        <v>28</v>
      </c>
      <c r="C30" s="28"/>
      <c r="D30" s="28"/>
      <c r="E30" s="28"/>
      <c r="F30" s="28"/>
      <c r="G30" s="36">
        <f>INT(SUM(G27:G29))</f>
        <v>2964</v>
      </c>
      <c r="H30" s="33"/>
      <c r="I30" s="36">
        <f>INT(SUM(I27:I29))</f>
        <v>642213</v>
      </c>
      <c r="J30" s="28"/>
      <c r="K30" s="36"/>
      <c r="L30" s="28"/>
      <c r="M30" s="36">
        <f>INT(SUM(M27:M29))</f>
        <v>645177</v>
      </c>
      <c r="N30" s="34"/>
    </row>
    <row r="31" spans="1:16" s="35" customFormat="1" ht="24.95" customHeight="1" x14ac:dyDescent="0.3">
      <c r="A31" s="74" t="s">
        <v>397</v>
      </c>
      <c r="B31" s="74" t="s">
        <v>409</v>
      </c>
      <c r="C31" s="28"/>
      <c r="D31" s="28"/>
      <c r="E31" s="28"/>
      <c r="F31" s="28"/>
      <c r="G31" s="36"/>
      <c r="H31" s="33"/>
      <c r="I31" s="36"/>
      <c r="J31" s="28"/>
      <c r="K31" s="36"/>
      <c r="L31" s="28"/>
      <c r="M31" s="36"/>
      <c r="N31" s="22" t="s">
        <v>418</v>
      </c>
    </row>
    <row r="32" spans="1:16" s="35" customFormat="1" ht="24.95" customHeight="1" x14ac:dyDescent="0.3">
      <c r="A32" s="74"/>
      <c r="B32" s="74" t="s">
        <v>408</v>
      </c>
      <c r="C32" s="74" t="s">
        <v>402</v>
      </c>
      <c r="D32" s="74" t="s">
        <v>407</v>
      </c>
      <c r="E32" s="74">
        <v>0.3</v>
      </c>
      <c r="F32" s="32">
        <v>7800</v>
      </c>
      <c r="G32" s="80">
        <v>2340</v>
      </c>
      <c r="H32" s="33"/>
      <c r="I32" s="36"/>
      <c r="J32" s="28"/>
      <c r="K32" s="36"/>
      <c r="L32" s="32">
        <v>7800</v>
      </c>
      <c r="M32" s="32">
        <v>2340</v>
      </c>
      <c r="N32" s="34"/>
    </row>
    <row r="33" spans="1:14" s="35" customFormat="1" ht="24.95" customHeight="1" x14ac:dyDescent="0.3">
      <c r="A33" s="74"/>
      <c r="B33" s="74" t="s">
        <v>408</v>
      </c>
      <c r="C33" s="74" t="s">
        <v>403</v>
      </c>
      <c r="D33" s="74" t="s">
        <v>407</v>
      </c>
      <c r="E33" s="74">
        <v>3.96</v>
      </c>
      <c r="F33" s="32">
        <v>6800</v>
      </c>
      <c r="G33" s="80">
        <v>26928</v>
      </c>
      <c r="H33" s="33"/>
      <c r="I33" s="36"/>
      <c r="J33" s="28"/>
      <c r="K33" s="36"/>
      <c r="L33" s="32">
        <v>6800</v>
      </c>
      <c r="M33" s="32">
        <v>26928</v>
      </c>
      <c r="N33" s="34"/>
    </row>
    <row r="34" spans="1:14" s="35" customFormat="1" ht="24.95" customHeight="1" x14ac:dyDescent="0.3">
      <c r="A34" s="74"/>
      <c r="B34" s="74" t="s">
        <v>408</v>
      </c>
      <c r="C34" s="74" t="s">
        <v>404</v>
      </c>
      <c r="D34" s="74" t="s">
        <v>407</v>
      </c>
      <c r="E34" s="74">
        <v>1.4850000000000001</v>
      </c>
      <c r="F34" s="32">
        <v>3500</v>
      </c>
      <c r="G34" s="80">
        <v>5197</v>
      </c>
      <c r="H34" s="33"/>
      <c r="I34" s="36"/>
      <c r="J34" s="28"/>
      <c r="K34" s="36"/>
      <c r="L34" s="32">
        <v>3500</v>
      </c>
      <c r="M34" s="32">
        <v>5197</v>
      </c>
      <c r="N34" s="34"/>
    </row>
    <row r="35" spans="1:14" s="35" customFormat="1" ht="24.95" customHeight="1" x14ac:dyDescent="0.3">
      <c r="A35" s="74"/>
      <c r="B35" s="74" t="s">
        <v>408</v>
      </c>
      <c r="C35" s="74" t="s">
        <v>405</v>
      </c>
      <c r="D35" s="74" t="s">
        <v>407</v>
      </c>
      <c r="E35" s="74">
        <v>0.495</v>
      </c>
      <c r="F35" s="32">
        <v>3800</v>
      </c>
      <c r="G35" s="80">
        <v>1881</v>
      </c>
      <c r="H35" s="33"/>
      <c r="I35" s="36"/>
      <c r="J35" s="28"/>
      <c r="K35" s="36"/>
      <c r="L35" s="32">
        <v>3800</v>
      </c>
      <c r="M35" s="32">
        <v>1881</v>
      </c>
      <c r="N35" s="34"/>
    </row>
    <row r="36" spans="1:14" s="35" customFormat="1" ht="24.95" customHeight="1" x14ac:dyDescent="0.3">
      <c r="A36" s="74"/>
      <c r="B36" s="74" t="s">
        <v>408</v>
      </c>
      <c r="C36" s="74" t="s">
        <v>406</v>
      </c>
      <c r="D36" s="74" t="s">
        <v>407</v>
      </c>
      <c r="E36" s="74">
        <v>1.32</v>
      </c>
      <c r="F36" s="32">
        <v>6800</v>
      </c>
      <c r="G36" s="80">
        <v>8976</v>
      </c>
      <c r="H36" s="33"/>
      <c r="I36" s="36"/>
      <c r="J36" s="28"/>
      <c r="K36" s="36"/>
      <c r="L36" s="32">
        <v>6800</v>
      </c>
      <c r="M36" s="32">
        <v>8976</v>
      </c>
      <c r="N36" s="34"/>
    </row>
    <row r="37" spans="1:14" s="35" customFormat="1" ht="24.95" customHeight="1" x14ac:dyDescent="0.3">
      <c r="A37" s="28"/>
      <c r="B37" s="74" t="s">
        <v>387</v>
      </c>
      <c r="C37" s="74" t="s">
        <v>398</v>
      </c>
      <c r="D37" s="74" t="s">
        <v>380</v>
      </c>
      <c r="E37" s="74">
        <v>0.11</v>
      </c>
      <c r="F37" s="28"/>
      <c r="G37" s="36"/>
      <c r="H37" s="32">
        <v>216528</v>
      </c>
      <c r="I37" s="32">
        <v>23818</v>
      </c>
      <c r="J37" s="28"/>
      <c r="K37" s="36"/>
      <c r="L37" s="32">
        <v>216528</v>
      </c>
      <c r="M37" s="32">
        <v>23818</v>
      </c>
      <c r="N37" s="34"/>
    </row>
    <row r="38" spans="1:14" s="35" customFormat="1" ht="24.95" customHeight="1" x14ac:dyDescent="0.3">
      <c r="A38" s="28"/>
      <c r="B38" s="74" t="s">
        <v>387</v>
      </c>
      <c r="C38" s="74" t="s">
        <v>399</v>
      </c>
      <c r="D38" s="74" t="s">
        <v>380</v>
      </c>
      <c r="E38" s="74">
        <v>8.7999999999999995E-2</v>
      </c>
      <c r="F38" s="28"/>
      <c r="G38" s="36"/>
      <c r="H38" s="32">
        <v>198613</v>
      </c>
      <c r="I38" s="32">
        <v>17477</v>
      </c>
      <c r="J38" s="28"/>
      <c r="K38" s="36"/>
      <c r="L38" s="32">
        <v>198613</v>
      </c>
      <c r="M38" s="32">
        <v>17477</v>
      </c>
      <c r="N38" s="34"/>
    </row>
    <row r="39" spans="1:14" s="35" customFormat="1" ht="24.95" customHeight="1" x14ac:dyDescent="0.3">
      <c r="A39" s="28"/>
      <c r="B39" s="74" t="s">
        <v>387</v>
      </c>
      <c r="C39" s="74" t="s">
        <v>400</v>
      </c>
      <c r="D39" s="74" t="s">
        <v>380</v>
      </c>
      <c r="E39" s="74">
        <v>0.68200000000000005</v>
      </c>
      <c r="F39" s="28"/>
      <c r="G39" s="36"/>
      <c r="H39" s="32">
        <v>174513</v>
      </c>
      <c r="I39" s="32">
        <v>119017</v>
      </c>
      <c r="J39" s="28"/>
      <c r="K39" s="36"/>
      <c r="L39" s="32">
        <v>174513</v>
      </c>
      <c r="M39" s="32">
        <v>119017</v>
      </c>
      <c r="N39" s="34"/>
    </row>
    <row r="40" spans="1:14" s="35" customFormat="1" ht="24.95" customHeight="1" x14ac:dyDescent="0.3">
      <c r="A40" s="28"/>
      <c r="B40" s="74" t="s">
        <v>387</v>
      </c>
      <c r="C40" s="74" t="s">
        <v>401</v>
      </c>
      <c r="D40" s="74" t="s">
        <v>380</v>
      </c>
      <c r="E40" s="74">
        <v>0.11</v>
      </c>
      <c r="F40" s="28"/>
      <c r="G40" s="36"/>
      <c r="H40" s="32">
        <v>166063</v>
      </c>
      <c r="I40" s="32">
        <v>18266</v>
      </c>
      <c r="J40" s="28"/>
      <c r="K40" s="36"/>
      <c r="L40" s="32">
        <v>166063</v>
      </c>
      <c r="M40" s="32">
        <v>18266</v>
      </c>
      <c r="N40" s="34"/>
    </row>
    <row r="41" spans="1:14" s="35" customFormat="1" ht="24.95" customHeight="1" x14ac:dyDescent="0.3">
      <c r="A41" s="28"/>
      <c r="B41" s="28" t="s">
        <v>28</v>
      </c>
      <c r="C41" s="28"/>
      <c r="D41" s="28"/>
      <c r="E41" s="28"/>
      <c r="F41" s="28"/>
      <c r="G41" s="36">
        <f>INT(SUM(G32:G40))</f>
        <v>45322</v>
      </c>
      <c r="H41" s="33"/>
      <c r="I41" s="36">
        <f>INT(SUM(I32:I40))</f>
        <v>178578</v>
      </c>
      <c r="J41" s="28"/>
      <c r="K41" s="36"/>
      <c r="L41" s="28"/>
      <c r="M41" s="36">
        <f>INT(SUM(M32:M40))</f>
        <v>223900</v>
      </c>
      <c r="N41" s="34"/>
    </row>
    <row r="42" spans="1:14" s="35" customFormat="1" ht="24.95" customHeight="1" x14ac:dyDescent="0.3">
      <c r="A42" s="74" t="s">
        <v>410</v>
      </c>
      <c r="B42" s="127" t="s">
        <v>550</v>
      </c>
      <c r="C42" s="28"/>
      <c r="D42" s="28"/>
      <c r="E42" s="28"/>
      <c r="F42" s="28"/>
      <c r="G42" s="36"/>
      <c r="H42" s="33"/>
      <c r="I42" s="36"/>
      <c r="J42" s="28"/>
      <c r="K42" s="36"/>
      <c r="L42" s="28"/>
      <c r="M42" s="36"/>
      <c r="N42" s="22" t="s">
        <v>419</v>
      </c>
    </row>
    <row r="43" spans="1:14" s="35" customFormat="1" ht="24.95" customHeight="1" x14ac:dyDescent="0.3">
      <c r="A43" s="28"/>
      <c r="B43" s="74" t="s">
        <v>56</v>
      </c>
      <c r="C43" s="74" t="s">
        <v>376</v>
      </c>
      <c r="D43" s="74" t="s">
        <v>380</v>
      </c>
      <c r="E43" s="74">
        <v>1.706</v>
      </c>
      <c r="F43" s="28"/>
      <c r="G43" s="36"/>
      <c r="H43" s="32">
        <v>185702</v>
      </c>
      <c r="I43" s="32">
        <v>316807</v>
      </c>
      <c r="J43" s="28"/>
      <c r="K43" s="36"/>
      <c r="L43" s="32">
        <v>185702</v>
      </c>
      <c r="M43" s="32">
        <v>316807</v>
      </c>
      <c r="N43" s="34"/>
    </row>
    <row r="44" spans="1:14" s="35" customFormat="1" ht="24.95" customHeight="1" x14ac:dyDescent="0.3">
      <c r="A44" s="28"/>
      <c r="B44" s="74" t="s">
        <v>56</v>
      </c>
      <c r="C44" s="74" t="s">
        <v>377</v>
      </c>
      <c r="D44" s="74" t="s">
        <v>380</v>
      </c>
      <c r="E44" s="74">
        <v>0.56499999999999995</v>
      </c>
      <c r="F44" s="28"/>
      <c r="G44" s="36"/>
      <c r="H44" s="32">
        <v>138290</v>
      </c>
      <c r="I44" s="32">
        <v>78133</v>
      </c>
      <c r="J44" s="28"/>
      <c r="K44" s="36"/>
      <c r="L44" s="32">
        <v>138290</v>
      </c>
      <c r="M44" s="32">
        <v>78133</v>
      </c>
      <c r="N44" s="34"/>
    </row>
    <row r="45" spans="1:14" s="35" customFormat="1" ht="24.95" customHeight="1" x14ac:dyDescent="0.3">
      <c r="A45" s="28"/>
      <c r="B45" s="74" t="s">
        <v>378</v>
      </c>
      <c r="C45" s="74" t="s">
        <v>379</v>
      </c>
      <c r="D45" s="28" t="s">
        <v>382</v>
      </c>
      <c r="E45" s="74">
        <v>3</v>
      </c>
      <c r="F45" s="28"/>
      <c r="G45" s="36"/>
      <c r="H45" s="33"/>
      <c r="I45" s="36"/>
      <c r="J45" s="80">
        <v>11848.199999999999</v>
      </c>
      <c r="K45" s="80">
        <v>11848.199999999999</v>
      </c>
      <c r="L45" s="28"/>
      <c r="M45" s="32">
        <v>11848.199999999999</v>
      </c>
      <c r="N45" s="34"/>
    </row>
    <row r="46" spans="1:14" s="35" customFormat="1" ht="24.95" customHeight="1" x14ac:dyDescent="0.3">
      <c r="A46" s="28"/>
      <c r="B46" s="28" t="s">
        <v>28</v>
      </c>
      <c r="C46" s="28"/>
      <c r="D46" s="28"/>
      <c r="E46" s="28"/>
      <c r="F46" s="28"/>
      <c r="G46" s="36">
        <f>INT(SUM(G43:G45))</f>
        <v>0</v>
      </c>
      <c r="H46" s="33"/>
      <c r="I46" s="36">
        <f>INT(SUM(I43:I45))</f>
        <v>394940</v>
      </c>
      <c r="J46" s="28"/>
      <c r="K46" s="36">
        <f>INT(SUM(K43:K45))</f>
        <v>11848</v>
      </c>
      <c r="L46" s="28"/>
      <c r="M46" s="36">
        <f>INT(SUM(M43:M45))</f>
        <v>406788</v>
      </c>
      <c r="N46" s="34"/>
    </row>
    <row r="47" spans="1:14" ht="24.95" customHeight="1" x14ac:dyDescent="0.3">
      <c r="A47" s="73" t="s">
        <v>411</v>
      </c>
      <c r="B47" s="141" t="s">
        <v>575</v>
      </c>
      <c r="C47" s="27"/>
      <c r="D47" s="27"/>
      <c r="E47" s="27"/>
      <c r="F47" s="27"/>
      <c r="G47" s="27"/>
      <c r="H47" s="32"/>
      <c r="I47" s="27"/>
      <c r="J47" s="27"/>
      <c r="K47" s="27"/>
      <c r="L47" s="27"/>
      <c r="M47" s="27"/>
      <c r="N47" s="22" t="s">
        <v>375</v>
      </c>
    </row>
    <row r="48" spans="1:14" ht="24.95" customHeight="1" x14ac:dyDescent="0.3">
      <c r="A48" s="27"/>
      <c r="B48" s="27" t="s">
        <v>64</v>
      </c>
      <c r="C48" s="107" t="s">
        <v>540</v>
      </c>
      <c r="D48" s="27" t="s">
        <v>63</v>
      </c>
      <c r="E48" s="27">
        <v>3.0139999999999998</v>
      </c>
      <c r="F48" s="27"/>
      <c r="G48" s="32">
        <v>0</v>
      </c>
      <c r="H48" s="90">
        <v>185702</v>
      </c>
      <c r="I48" s="32">
        <v>559705</v>
      </c>
      <c r="J48" s="27"/>
      <c r="K48" s="36"/>
      <c r="L48" s="32"/>
      <c r="M48" s="32">
        <v>559705</v>
      </c>
      <c r="N48" s="22"/>
    </row>
    <row r="49" spans="1:14" ht="24.95" customHeight="1" x14ac:dyDescent="0.3">
      <c r="A49" s="27"/>
      <c r="B49" s="27" t="s">
        <v>64</v>
      </c>
      <c r="C49" s="27" t="s">
        <v>65</v>
      </c>
      <c r="D49" s="27" t="s">
        <v>63</v>
      </c>
      <c r="E49" s="27">
        <v>0.89500000000000002</v>
      </c>
      <c r="F49" s="27"/>
      <c r="G49" s="32">
        <v>0</v>
      </c>
      <c r="H49" s="91">
        <v>138290</v>
      </c>
      <c r="I49" s="32">
        <v>123769</v>
      </c>
      <c r="J49" s="27"/>
      <c r="K49" s="36"/>
      <c r="L49" s="32"/>
      <c r="M49" s="32">
        <v>123769</v>
      </c>
      <c r="N49" s="22"/>
    </row>
    <row r="50" spans="1:14" s="35" customFormat="1" ht="24.95" customHeight="1" x14ac:dyDescent="0.3">
      <c r="A50" s="28"/>
      <c r="B50" s="28" t="s">
        <v>28</v>
      </c>
      <c r="C50" s="28"/>
      <c r="D50" s="28"/>
      <c r="E50" s="28"/>
      <c r="F50" s="33"/>
      <c r="G50" s="36">
        <f>INT(SUM(G48:G49))</f>
        <v>0</v>
      </c>
      <c r="H50" s="33"/>
      <c r="I50" s="36">
        <f>INT(SUM(I48:I49))</f>
        <v>683474</v>
      </c>
      <c r="J50" s="33"/>
      <c r="K50" s="36">
        <f>INT(SUM(K48:K49))</f>
        <v>0</v>
      </c>
      <c r="L50" s="33"/>
      <c r="M50" s="36">
        <f>INT(SUM(M48:M49))</f>
        <v>683474</v>
      </c>
      <c r="N50" s="34"/>
    </row>
    <row r="51" spans="1:14" ht="24.95" customHeight="1" x14ac:dyDescent="0.3">
      <c r="A51" s="73" t="s">
        <v>412</v>
      </c>
      <c r="B51" s="141" t="s">
        <v>576</v>
      </c>
      <c r="C51" s="74"/>
      <c r="D51" s="74"/>
      <c r="E51" s="74"/>
      <c r="F51" s="74"/>
      <c r="G51" s="74"/>
      <c r="H51" s="32"/>
      <c r="I51" s="74"/>
      <c r="J51" s="74"/>
      <c r="K51" s="74"/>
      <c r="L51" s="74"/>
      <c r="M51" s="74"/>
      <c r="N51" s="22" t="s">
        <v>385</v>
      </c>
    </row>
    <row r="52" spans="1:14" ht="24.95" customHeight="1" x14ac:dyDescent="0.3">
      <c r="A52" s="74"/>
      <c r="B52" s="74" t="s">
        <v>64</v>
      </c>
      <c r="C52" s="74" t="s">
        <v>384</v>
      </c>
      <c r="D52" s="74" t="s">
        <v>52</v>
      </c>
      <c r="E52" s="74">
        <v>2.85</v>
      </c>
      <c r="F52" s="74"/>
      <c r="G52" s="32">
        <v>0</v>
      </c>
      <c r="H52" s="90">
        <v>216865</v>
      </c>
      <c r="I52" s="32">
        <v>618065</v>
      </c>
      <c r="J52" s="74"/>
      <c r="K52" s="36"/>
      <c r="L52" s="32"/>
      <c r="M52" s="32">
        <v>618065</v>
      </c>
      <c r="N52" s="22"/>
    </row>
    <row r="53" spans="1:14" s="35" customFormat="1" ht="24.95" customHeight="1" x14ac:dyDescent="0.3">
      <c r="A53" s="28"/>
      <c r="B53" s="28" t="s">
        <v>28</v>
      </c>
      <c r="C53" s="28"/>
      <c r="D53" s="28"/>
      <c r="E53" s="28"/>
      <c r="F53" s="33"/>
      <c r="G53" s="36">
        <f>INT(SUM(G52))</f>
        <v>0</v>
      </c>
      <c r="H53" s="33"/>
      <c r="I53" s="36">
        <f>INT(SUM(I52))</f>
        <v>618065</v>
      </c>
      <c r="J53" s="33"/>
      <c r="K53" s="33">
        <v>0</v>
      </c>
      <c r="L53" s="33"/>
      <c r="M53" s="36">
        <f>INT(SUM(M52))</f>
        <v>618065</v>
      </c>
      <c r="N53" s="34"/>
    </row>
    <row r="54" spans="1:14" ht="24.95" customHeight="1" x14ac:dyDescent="0.3">
      <c r="A54" s="73" t="s">
        <v>281</v>
      </c>
      <c r="B54" s="28" t="s">
        <v>294</v>
      </c>
      <c r="C54" s="27"/>
      <c r="D54" s="27"/>
      <c r="E54" s="27"/>
      <c r="F54" s="27"/>
      <c r="G54" s="27"/>
      <c r="H54" s="32"/>
      <c r="I54" s="32"/>
      <c r="J54" s="27"/>
      <c r="K54" s="27"/>
      <c r="L54" s="27"/>
      <c r="M54" s="27"/>
      <c r="N54" s="22" t="s">
        <v>383</v>
      </c>
    </row>
    <row r="55" spans="1:14" ht="24.95" customHeight="1" x14ac:dyDescent="0.3">
      <c r="A55" s="27"/>
      <c r="B55" s="27" t="s">
        <v>66</v>
      </c>
      <c r="C55" s="27" t="s">
        <v>67</v>
      </c>
      <c r="D55" s="27" t="s">
        <v>68</v>
      </c>
      <c r="E55" s="27">
        <v>0.161</v>
      </c>
      <c r="F55" s="92">
        <v>11350</v>
      </c>
      <c r="G55" s="32">
        <v>1827</v>
      </c>
      <c r="H55" s="32"/>
      <c r="I55" s="32">
        <v>0</v>
      </c>
      <c r="J55" s="27"/>
      <c r="K55" s="36"/>
      <c r="L55" s="32"/>
      <c r="M55" s="32">
        <v>1827</v>
      </c>
      <c r="N55" s="22"/>
    </row>
    <row r="56" spans="1:14" ht="24.95" customHeight="1" x14ac:dyDescent="0.3">
      <c r="A56" s="27"/>
      <c r="B56" s="27" t="s">
        <v>69</v>
      </c>
      <c r="C56" s="27" t="s">
        <v>70</v>
      </c>
      <c r="D56" s="27" t="s">
        <v>68</v>
      </c>
      <c r="E56" s="27">
        <v>8.0000000000000002E-3</v>
      </c>
      <c r="F56" s="92">
        <v>2947</v>
      </c>
      <c r="G56" s="32">
        <v>23</v>
      </c>
      <c r="H56" s="32"/>
      <c r="I56" s="32">
        <v>0</v>
      </c>
      <c r="J56" s="27"/>
      <c r="K56" s="33"/>
      <c r="L56" s="32"/>
      <c r="M56" s="32">
        <v>23</v>
      </c>
      <c r="N56" s="22"/>
    </row>
    <row r="57" spans="1:14" ht="24.95" customHeight="1" x14ac:dyDescent="0.3">
      <c r="A57" s="27"/>
      <c r="B57" s="27" t="s">
        <v>71</v>
      </c>
      <c r="C57" s="27" t="s">
        <v>72</v>
      </c>
      <c r="D57" s="27" t="s">
        <v>62</v>
      </c>
      <c r="E57" s="27">
        <v>1</v>
      </c>
      <c r="F57" s="92">
        <v>55.5</v>
      </c>
      <c r="G57" s="32">
        <v>55</v>
      </c>
      <c r="H57" s="32"/>
      <c r="I57" s="32">
        <v>0</v>
      </c>
      <c r="J57" s="27"/>
      <c r="K57" s="33"/>
      <c r="L57" s="32"/>
      <c r="M57" s="32">
        <v>55</v>
      </c>
      <c r="N57" s="22"/>
    </row>
    <row r="58" spans="1:14" ht="24.95" customHeight="1" x14ac:dyDescent="0.3">
      <c r="A58" s="27"/>
      <c r="B58" s="27" t="s">
        <v>56</v>
      </c>
      <c r="C58" s="27" t="s">
        <v>73</v>
      </c>
      <c r="D58" s="27" t="s">
        <v>58</v>
      </c>
      <c r="E58" s="27">
        <v>0.03</v>
      </c>
      <c r="F58" s="32"/>
      <c r="G58" s="32">
        <v>0</v>
      </c>
      <c r="H58" s="90">
        <v>198613</v>
      </c>
      <c r="I58" s="32">
        <v>5958</v>
      </c>
      <c r="J58" s="27"/>
      <c r="K58" s="33"/>
      <c r="L58" s="32"/>
      <c r="M58" s="32">
        <v>5958</v>
      </c>
      <c r="N58" s="22"/>
    </row>
    <row r="59" spans="1:14" ht="24.95" customHeight="1" x14ac:dyDescent="0.3">
      <c r="A59" s="27"/>
      <c r="B59" s="27" t="s">
        <v>56</v>
      </c>
      <c r="C59" s="27" t="s">
        <v>59</v>
      </c>
      <c r="D59" s="27" t="s">
        <v>58</v>
      </c>
      <c r="E59" s="27">
        <v>6.0000000000000001E-3</v>
      </c>
      <c r="F59" s="32"/>
      <c r="G59" s="32">
        <v>0</v>
      </c>
      <c r="H59" s="91">
        <v>138290</v>
      </c>
      <c r="I59" s="32">
        <v>829</v>
      </c>
      <c r="J59" s="27"/>
      <c r="K59" s="36"/>
      <c r="L59" s="32"/>
      <c r="M59" s="32">
        <v>829</v>
      </c>
      <c r="N59" s="22"/>
    </row>
    <row r="60" spans="1:14" ht="24.95" customHeight="1" x14ac:dyDescent="0.3">
      <c r="A60" s="27"/>
      <c r="B60" s="28" t="s">
        <v>28</v>
      </c>
      <c r="C60" s="28"/>
      <c r="D60" s="28"/>
      <c r="E60" s="28"/>
      <c r="F60" s="33"/>
      <c r="G60" s="36">
        <f>INT(SUM(G55:G59))</f>
        <v>1905</v>
      </c>
      <c r="H60" s="33"/>
      <c r="I60" s="36">
        <f>INT(SUM(I55:I59))</f>
        <v>6787</v>
      </c>
      <c r="J60" s="28"/>
      <c r="K60" s="36">
        <f>INT(SUM(K55:K59))</f>
        <v>0</v>
      </c>
      <c r="L60" s="28"/>
      <c r="M60" s="36">
        <f>INT(SUM(M55:M59))</f>
        <v>8692</v>
      </c>
      <c r="N60" s="34"/>
    </row>
    <row r="61" spans="1:14" ht="24.95" customHeight="1" x14ac:dyDescent="0.3">
      <c r="A61" s="73" t="s">
        <v>413</v>
      </c>
      <c r="B61" s="28" t="s">
        <v>295</v>
      </c>
      <c r="C61" s="27"/>
      <c r="D61" s="27"/>
      <c r="E61" s="27"/>
      <c r="F61" s="32"/>
      <c r="G61" s="27"/>
      <c r="H61" s="32"/>
      <c r="I61" s="27"/>
      <c r="J61" s="27"/>
      <c r="K61" s="27"/>
      <c r="L61" s="27"/>
      <c r="M61" s="27"/>
      <c r="N61" s="22" t="s">
        <v>539</v>
      </c>
    </row>
    <row r="62" spans="1:14" ht="24.95" customHeight="1" x14ac:dyDescent="0.3">
      <c r="A62" s="27"/>
      <c r="B62" s="27" t="s">
        <v>74</v>
      </c>
      <c r="C62" s="27" t="s">
        <v>75</v>
      </c>
      <c r="D62" s="27" t="s">
        <v>68</v>
      </c>
      <c r="E62" s="27">
        <v>0.16200000000000001</v>
      </c>
      <c r="F62" s="32">
        <v>6372</v>
      </c>
      <c r="G62" s="32">
        <v>1032</v>
      </c>
      <c r="H62" s="32"/>
      <c r="I62" s="32">
        <v>0</v>
      </c>
      <c r="J62" s="27"/>
      <c r="K62" s="33">
        <v>0</v>
      </c>
      <c r="L62" s="32"/>
      <c r="M62" s="32">
        <v>1032</v>
      </c>
      <c r="N62" s="22"/>
    </row>
    <row r="63" spans="1:14" ht="24.95" customHeight="1" x14ac:dyDescent="0.3">
      <c r="A63" s="27"/>
      <c r="B63" s="27" t="s">
        <v>69</v>
      </c>
      <c r="C63" s="27" t="s">
        <v>70</v>
      </c>
      <c r="D63" s="27" t="s">
        <v>68</v>
      </c>
      <c r="E63" s="27">
        <v>8.0000000000000002E-3</v>
      </c>
      <c r="F63" s="32">
        <v>3338</v>
      </c>
      <c r="G63" s="32">
        <v>26</v>
      </c>
      <c r="H63" s="32"/>
      <c r="I63" s="32">
        <v>0</v>
      </c>
      <c r="J63" s="27"/>
      <c r="K63" s="33">
        <v>0</v>
      </c>
      <c r="L63" s="32"/>
      <c r="M63" s="32">
        <v>26</v>
      </c>
      <c r="N63" s="22"/>
    </row>
    <row r="64" spans="1:14" ht="24.95" customHeight="1" x14ac:dyDescent="0.3">
      <c r="A64" s="27"/>
      <c r="B64" s="27" t="s">
        <v>71</v>
      </c>
      <c r="C64" s="27" t="s">
        <v>76</v>
      </c>
      <c r="D64" s="27" t="s">
        <v>62</v>
      </c>
      <c r="E64" s="27">
        <v>1</v>
      </c>
      <c r="F64" s="80">
        <v>42.32</v>
      </c>
      <c r="G64" s="32">
        <v>42.2</v>
      </c>
      <c r="H64" s="32"/>
      <c r="I64" s="32">
        <v>0</v>
      </c>
      <c r="J64" s="80"/>
      <c r="K64" s="33"/>
      <c r="L64" s="32"/>
      <c r="M64" s="32">
        <v>42.3</v>
      </c>
      <c r="N64" s="22"/>
    </row>
    <row r="65" spans="1:14" ht="24.95" customHeight="1" x14ac:dyDescent="0.3">
      <c r="A65" s="27"/>
      <c r="B65" s="27" t="s">
        <v>56</v>
      </c>
      <c r="C65" s="27" t="s">
        <v>73</v>
      </c>
      <c r="D65" s="27" t="s">
        <v>58</v>
      </c>
      <c r="E65" s="27">
        <v>0.04</v>
      </c>
      <c r="F65" s="32"/>
      <c r="G65" s="32">
        <v>0</v>
      </c>
      <c r="H65" s="32">
        <v>198613</v>
      </c>
      <c r="I65" s="32">
        <v>7944</v>
      </c>
      <c r="J65" s="27"/>
      <c r="K65" s="33"/>
      <c r="L65" s="32"/>
      <c r="M65" s="32">
        <v>7944</v>
      </c>
      <c r="N65" s="22"/>
    </row>
    <row r="66" spans="1:14" ht="24.95" customHeight="1" x14ac:dyDescent="0.3">
      <c r="A66" s="27"/>
      <c r="B66" s="27" t="s">
        <v>56</v>
      </c>
      <c r="C66" s="27" t="s">
        <v>59</v>
      </c>
      <c r="D66" s="27" t="s">
        <v>58</v>
      </c>
      <c r="E66" s="27">
        <v>8.0000000000000002E-3</v>
      </c>
      <c r="F66" s="32"/>
      <c r="G66" s="32">
        <v>0</v>
      </c>
      <c r="H66" s="32">
        <v>138290</v>
      </c>
      <c r="I66" s="32">
        <v>1106</v>
      </c>
      <c r="J66" s="27"/>
      <c r="K66" s="33"/>
      <c r="L66" s="32"/>
      <c r="M66" s="32">
        <v>1106</v>
      </c>
      <c r="N66" s="22"/>
    </row>
    <row r="67" spans="1:14" ht="24.95" customHeight="1" x14ac:dyDescent="0.3">
      <c r="A67" s="27"/>
      <c r="B67" s="28" t="s">
        <v>28</v>
      </c>
      <c r="C67" s="28"/>
      <c r="D67" s="28"/>
      <c r="E67" s="28"/>
      <c r="F67" s="33"/>
      <c r="G67" s="36">
        <f>INT(SUM(G62:G66))</f>
        <v>1100</v>
      </c>
      <c r="H67" s="33"/>
      <c r="I67" s="36">
        <f>INT(SUM(I62:I66))</f>
        <v>9050</v>
      </c>
      <c r="J67" s="28"/>
      <c r="K67" s="36">
        <f>INT(SUM(K62:K66))</f>
        <v>0</v>
      </c>
      <c r="L67" s="33"/>
      <c r="M67" s="36">
        <f>INT(SUM(M62:M66))</f>
        <v>10150</v>
      </c>
      <c r="N67" s="22"/>
    </row>
    <row r="68" spans="1:14" ht="24.95" customHeight="1" x14ac:dyDescent="0.3">
      <c r="A68" s="83" t="s">
        <v>283</v>
      </c>
      <c r="B68" s="28" t="s">
        <v>501</v>
      </c>
      <c r="C68" s="84"/>
      <c r="D68" s="84"/>
      <c r="E68" s="84"/>
      <c r="F68" s="32"/>
      <c r="G68" s="84"/>
      <c r="H68" s="32"/>
      <c r="I68" s="32"/>
      <c r="J68" s="84"/>
      <c r="K68" s="84"/>
      <c r="L68" s="84"/>
      <c r="M68" s="32"/>
      <c r="N68" s="22" t="s">
        <v>502</v>
      </c>
    </row>
    <row r="69" spans="1:14" ht="24.95" customHeight="1" x14ac:dyDescent="0.3">
      <c r="A69" s="84"/>
      <c r="B69" s="141" t="s">
        <v>577</v>
      </c>
      <c r="C69" s="84" t="s">
        <v>78</v>
      </c>
      <c r="D69" s="84" t="s">
        <v>53</v>
      </c>
      <c r="E69" s="84">
        <v>0.05</v>
      </c>
      <c r="F69" s="32"/>
      <c r="G69" s="84"/>
      <c r="H69" s="32">
        <v>239716</v>
      </c>
      <c r="I69" s="32">
        <v>11985</v>
      </c>
      <c r="J69" s="84"/>
      <c r="K69" s="84"/>
      <c r="L69" s="84"/>
      <c r="M69" s="32">
        <v>11985</v>
      </c>
      <c r="N69" s="22"/>
    </row>
    <row r="70" spans="1:14" s="35" customFormat="1" ht="24.95" customHeight="1" x14ac:dyDescent="0.3">
      <c r="A70" s="28"/>
      <c r="B70" s="28" t="s">
        <v>28</v>
      </c>
      <c r="C70" s="28"/>
      <c r="D70" s="28"/>
      <c r="E70" s="28"/>
      <c r="F70" s="33"/>
      <c r="G70" s="36">
        <f>INT(SUM(G69))</f>
        <v>0</v>
      </c>
      <c r="H70" s="33"/>
      <c r="I70" s="36">
        <f>INT(SUM(I69))</f>
        <v>11985</v>
      </c>
      <c r="J70" s="28"/>
      <c r="K70" s="36">
        <f>INT(SUM(K69))</f>
        <v>0</v>
      </c>
      <c r="L70" s="28"/>
      <c r="M70" s="36">
        <f>INT(SUM(M69))</f>
        <v>11985</v>
      </c>
      <c r="N70" s="34"/>
    </row>
    <row r="71" spans="1:14" ht="24.95" customHeight="1" x14ac:dyDescent="0.3">
      <c r="A71" s="26" t="s">
        <v>285</v>
      </c>
      <c r="B71" s="28" t="s">
        <v>296</v>
      </c>
      <c r="C71" s="27"/>
      <c r="D71" s="27"/>
      <c r="E71" s="27"/>
      <c r="F71" s="32"/>
      <c r="G71" s="27"/>
      <c r="H71" s="32"/>
      <c r="I71" s="32"/>
      <c r="J71" s="27"/>
      <c r="K71" s="27"/>
      <c r="L71" s="27"/>
      <c r="M71" s="32"/>
      <c r="N71" s="22" t="s">
        <v>87</v>
      </c>
    </row>
    <row r="72" spans="1:14" ht="24.95" customHeight="1" x14ac:dyDescent="0.3">
      <c r="A72" s="105"/>
      <c r="B72" s="105" t="s">
        <v>535</v>
      </c>
      <c r="C72" s="105" t="s">
        <v>78</v>
      </c>
      <c r="D72" s="105" t="s">
        <v>52</v>
      </c>
      <c r="E72" s="105">
        <v>0.01</v>
      </c>
      <c r="F72" s="32"/>
      <c r="G72" s="105"/>
      <c r="H72" s="32">
        <v>239716</v>
      </c>
      <c r="I72" s="32">
        <v>2397</v>
      </c>
      <c r="J72" s="105"/>
      <c r="K72" s="105"/>
      <c r="L72" s="105"/>
      <c r="M72" s="32">
        <v>2397</v>
      </c>
      <c r="N72" s="22"/>
    </row>
    <row r="73" spans="1:14" ht="24.95" customHeight="1" x14ac:dyDescent="0.3">
      <c r="A73" s="105"/>
      <c r="B73" s="105" t="s">
        <v>77</v>
      </c>
      <c r="C73" s="105" t="s">
        <v>78</v>
      </c>
      <c r="D73" s="105" t="s">
        <v>52</v>
      </c>
      <c r="E73" s="105">
        <v>2.3E-2</v>
      </c>
      <c r="F73" s="32"/>
      <c r="G73" s="105"/>
      <c r="H73" s="32">
        <v>239716</v>
      </c>
      <c r="I73" s="32">
        <v>5513</v>
      </c>
      <c r="J73" s="105"/>
      <c r="K73" s="105"/>
      <c r="L73" s="105"/>
      <c r="M73" s="32">
        <v>5513</v>
      </c>
      <c r="N73" s="22"/>
    </row>
    <row r="74" spans="1:14" s="35" customFormat="1" ht="24.95" customHeight="1" x14ac:dyDescent="0.3">
      <c r="A74" s="28"/>
      <c r="B74" s="28" t="s">
        <v>28</v>
      </c>
      <c r="C74" s="28"/>
      <c r="D74" s="28"/>
      <c r="E74" s="28"/>
      <c r="F74" s="33"/>
      <c r="G74" s="36">
        <f>INT(SUM(G72:G73))</f>
        <v>0</v>
      </c>
      <c r="H74" s="33"/>
      <c r="I74" s="36">
        <f>INT(SUM(I72:I73))</f>
        <v>7910</v>
      </c>
      <c r="J74" s="28"/>
      <c r="K74" s="36">
        <f>INT(SUM(K72:K73))</f>
        <v>0</v>
      </c>
      <c r="L74" s="28"/>
      <c r="M74" s="36">
        <f>INT(SUM(M72:M73))</f>
        <v>7910</v>
      </c>
      <c r="N74" s="34"/>
    </row>
    <row r="75" spans="1:14" ht="24.95" customHeight="1" x14ac:dyDescent="0.3">
      <c r="A75" s="26" t="s">
        <v>287</v>
      </c>
      <c r="B75" s="28" t="s">
        <v>718</v>
      </c>
      <c r="C75" s="27"/>
      <c r="D75" s="27"/>
      <c r="E75" s="27"/>
      <c r="F75" s="32"/>
      <c r="G75" s="27"/>
      <c r="H75" s="32"/>
      <c r="I75" s="32"/>
      <c r="J75" s="27"/>
      <c r="K75" s="27"/>
      <c r="L75" s="27"/>
      <c r="M75" s="32"/>
      <c r="N75" s="22" t="s">
        <v>720</v>
      </c>
    </row>
    <row r="76" spans="1:14" ht="24.95" customHeight="1" x14ac:dyDescent="0.3">
      <c r="A76" s="27"/>
      <c r="B76" s="141" t="s">
        <v>719</v>
      </c>
      <c r="C76" s="27" t="s">
        <v>78</v>
      </c>
      <c r="D76" s="27" t="s">
        <v>63</v>
      </c>
      <c r="E76" s="27">
        <v>2.95</v>
      </c>
      <c r="F76" s="32"/>
      <c r="G76" s="27"/>
      <c r="H76" s="32">
        <v>239716</v>
      </c>
      <c r="I76" s="32">
        <v>707162.20000000007</v>
      </c>
      <c r="J76" s="27"/>
      <c r="K76" s="27"/>
      <c r="L76" s="27"/>
      <c r="M76" s="32">
        <v>249304</v>
      </c>
      <c r="N76" s="22"/>
    </row>
    <row r="77" spans="1:14" s="35" customFormat="1" ht="24.95" customHeight="1" x14ac:dyDescent="0.3">
      <c r="A77" s="28"/>
      <c r="B77" s="28" t="s">
        <v>28</v>
      </c>
      <c r="C77" s="28"/>
      <c r="D77" s="28"/>
      <c r="E77" s="28"/>
      <c r="F77" s="33"/>
      <c r="G77" s="36">
        <f>INT(SUM(G76))</f>
        <v>0</v>
      </c>
      <c r="H77" s="33"/>
      <c r="I77" s="36">
        <f>INT(SUM(I76))</f>
        <v>707162</v>
      </c>
      <c r="J77" s="28"/>
      <c r="K77" s="36">
        <f>INT(SUM(K76))</f>
        <v>0</v>
      </c>
      <c r="L77" s="28"/>
      <c r="M77" s="36">
        <f>INT(SUM(M76))</f>
        <v>249304</v>
      </c>
      <c r="N77" s="34"/>
    </row>
    <row r="78" spans="1:14" ht="24.95" customHeight="1" x14ac:dyDescent="0.3">
      <c r="A78" s="26" t="s">
        <v>289</v>
      </c>
      <c r="B78" s="28" t="s">
        <v>297</v>
      </c>
      <c r="C78" s="27"/>
      <c r="D78" s="27"/>
      <c r="E78" s="27"/>
      <c r="F78" s="32"/>
      <c r="G78" s="27"/>
      <c r="H78" s="32"/>
      <c r="I78" s="32"/>
      <c r="J78" s="27"/>
      <c r="K78" s="27"/>
      <c r="L78" s="27"/>
      <c r="M78" s="32"/>
      <c r="N78" s="22" t="s">
        <v>88</v>
      </c>
    </row>
    <row r="79" spans="1:14" ht="24.95" customHeight="1" x14ac:dyDescent="0.3">
      <c r="A79" s="27"/>
      <c r="B79" s="27" t="s">
        <v>79</v>
      </c>
      <c r="C79" s="27" t="s">
        <v>78</v>
      </c>
      <c r="D79" s="27" t="s">
        <v>63</v>
      </c>
      <c r="E79" s="27">
        <v>0.59</v>
      </c>
      <c r="F79" s="32"/>
      <c r="G79" s="27"/>
      <c r="H79" s="32">
        <v>239716</v>
      </c>
      <c r="I79" s="32">
        <v>141432</v>
      </c>
      <c r="J79" s="27"/>
      <c r="K79" s="27"/>
      <c r="L79" s="27"/>
      <c r="M79" s="32">
        <v>141432</v>
      </c>
      <c r="N79" s="22"/>
    </row>
    <row r="80" spans="1:14" s="35" customFormat="1" ht="24.95" customHeight="1" x14ac:dyDescent="0.3">
      <c r="A80" s="28"/>
      <c r="B80" s="28" t="s">
        <v>28</v>
      </c>
      <c r="C80" s="28"/>
      <c r="D80" s="28"/>
      <c r="E80" s="28"/>
      <c r="F80" s="33"/>
      <c r="G80" s="36">
        <f>INT(SUM(G79))</f>
        <v>0</v>
      </c>
      <c r="H80" s="33"/>
      <c r="I80" s="36">
        <f>INT(SUM(I79))</f>
        <v>141432</v>
      </c>
      <c r="J80" s="28"/>
      <c r="K80" s="36">
        <f>INT(SUM(K79))</f>
        <v>0</v>
      </c>
      <c r="L80" s="28"/>
      <c r="M80" s="36">
        <f>INT(SUM(M79))</f>
        <v>141432</v>
      </c>
      <c r="N80" s="34"/>
    </row>
    <row r="81" spans="1:14" ht="24.95" customHeight="1" x14ac:dyDescent="0.3">
      <c r="A81" s="26" t="s">
        <v>291</v>
      </c>
      <c r="B81" s="28" t="s">
        <v>529</v>
      </c>
      <c r="C81" s="27"/>
      <c r="D81" s="27"/>
      <c r="E81" s="27"/>
      <c r="F81" s="32"/>
      <c r="G81" s="27"/>
      <c r="H81" s="32"/>
      <c r="I81" s="32"/>
      <c r="J81" s="27"/>
      <c r="K81" s="27"/>
      <c r="L81" s="27"/>
      <c r="M81" s="32"/>
      <c r="N81" s="22" t="s">
        <v>545</v>
      </c>
    </row>
    <row r="82" spans="1:14" ht="24.95" customHeight="1" x14ac:dyDescent="0.3">
      <c r="A82" s="140"/>
      <c r="B82" s="141" t="s">
        <v>578</v>
      </c>
      <c r="C82" s="62" t="s">
        <v>78</v>
      </c>
      <c r="D82" s="62" t="s">
        <v>579</v>
      </c>
      <c r="E82" s="62">
        <v>0.26</v>
      </c>
      <c r="F82" s="68"/>
      <c r="G82" s="62"/>
      <c r="H82" s="32">
        <v>239716</v>
      </c>
      <c r="I82" s="32">
        <v>62326</v>
      </c>
      <c r="J82" s="62"/>
      <c r="K82" s="62"/>
      <c r="L82" s="62"/>
      <c r="M82" s="68"/>
      <c r="N82" s="108"/>
    </row>
    <row r="83" spans="1:14" ht="24.95" customHeight="1" x14ac:dyDescent="0.3">
      <c r="A83" s="120"/>
      <c r="B83" s="121" t="s">
        <v>546</v>
      </c>
      <c r="C83" s="121" t="s">
        <v>78</v>
      </c>
      <c r="D83" s="62" t="s">
        <v>547</v>
      </c>
      <c r="E83" s="62">
        <v>0.36</v>
      </c>
      <c r="F83" s="68"/>
      <c r="G83" s="62"/>
      <c r="H83" s="32">
        <v>239716</v>
      </c>
      <c r="I83" s="32">
        <v>86297</v>
      </c>
      <c r="J83" s="62"/>
      <c r="K83" s="62"/>
      <c r="L83" s="62"/>
      <c r="M83" s="32">
        <v>86297</v>
      </c>
      <c r="N83" s="108"/>
    </row>
    <row r="84" spans="1:14" s="35" customFormat="1" ht="24.95" customHeight="1" x14ac:dyDescent="0.3">
      <c r="A84" s="28"/>
      <c r="B84" s="28" t="s">
        <v>28</v>
      </c>
      <c r="C84" s="28"/>
      <c r="D84" s="28"/>
      <c r="E84" s="28"/>
      <c r="F84" s="33"/>
      <c r="G84" s="36">
        <f>INT(SUM(G82:G83))</f>
        <v>0</v>
      </c>
      <c r="H84" s="33"/>
      <c r="I84" s="36">
        <f>INT(SUM(I82:I83))</f>
        <v>148623</v>
      </c>
      <c r="J84" s="28"/>
      <c r="K84" s="36">
        <f>INT(SUM(K82:K83))</f>
        <v>0</v>
      </c>
      <c r="L84" s="28"/>
      <c r="M84" s="36">
        <f>INT(SUM(M82:M83))</f>
        <v>86297</v>
      </c>
      <c r="N84" s="34"/>
    </row>
    <row r="85" spans="1:14" ht="24.95" customHeight="1" x14ac:dyDescent="0.3">
      <c r="A85" s="104" t="s">
        <v>292</v>
      </c>
      <c r="B85" s="28" t="s">
        <v>529</v>
      </c>
      <c r="C85" s="105"/>
      <c r="D85" s="105"/>
      <c r="E85" s="105"/>
      <c r="F85" s="32"/>
      <c r="G85" s="105"/>
      <c r="H85" s="32"/>
      <c r="I85" s="32"/>
      <c r="J85" s="105"/>
      <c r="K85" s="105"/>
      <c r="L85" s="105"/>
      <c r="M85" s="32"/>
      <c r="N85" s="22" t="s">
        <v>545</v>
      </c>
    </row>
    <row r="86" spans="1:14" ht="24.95" customHeight="1" x14ac:dyDescent="0.3">
      <c r="A86" s="105"/>
      <c r="B86" s="105" t="s">
        <v>533</v>
      </c>
      <c r="C86" s="105" t="s">
        <v>78</v>
      </c>
      <c r="D86" s="105" t="s">
        <v>52</v>
      </c>
      <c r="E86" s="105">
        <v>0.3</v>
      </c>
      <c r="F86" s="32"/>
      <c r="G86" s="105"/>
      <c r="H86" s="32">
        <v>239716</v>
      </c>
      <c r="I86" s="32">
        <v>71914</v>
      </c>
      <c r="J86" s="105"/>
      <c r="K86" s="105"/>
      <c r="L86" s="105"/>
      <c r="M86" s="32">
        <v>71914</v>
      </c>
      <c r="N86" s="22"/>
    </row>
    <row r="87" spans="1:14" ht="24.95" customHeight="1" x14ac:dyDescent="0.3">
      <c r="A87" s="62"/>
      <c r="B87" s="121" t="s">
        <v>548</v>
      </c>
      <c r="C87" s="121" t="s">
        <v>78</v>
      </c>
      <c r="D87" s="62" t="s">
        <v>547</v>
      </c>
      <c r="E87" s="62">
        <v>0.45</v>
      </c>
      <c r="F87" s="68"/>
      <c r="G87" s="62"/>
      <c r="H87" s="32">
        <v>239716</v>
      </c>
      <c r="I87" s="32">
        <v>107872</v>
      </c>
      <c r="J87" s="62"/>
      <c r="K87" s="62"/>
      <c r="L87" s="62"/>
      <c r="M87" s="32">
        <v>107872</v>
      </c>
      <c r="N87" s="108"/>
    </row>
    <row r="88" spans="1:14" ht="24.95" customHeight="1" x14ac:dyDescent="0.3">
      <c r="A88" s="105"/>
      <c r="B88" s="105" t="s">
        <v>530</v>
      </c>
      <c r="C88" s="105" t="s">
        <v>78</v>
      </c>
      <c r="D88" s="105" t="s">
        <v>52</v>
      </c>
      <c r="E88" s="105">
        <v>0.6</v>
      </c>
      <c r="F88" s="32"/>
      <c r="G88" s="105"/>
      <c r="H88" s="32">
        <v>239716</v>
      </c>
      <c r="I88" s="32">
        <v>143829</v>
      </c>
      <c r="J88" s="105"/>
      <c r="K88" s="105"/>
      <c r="L88" s="105"/>
      <c r="M88" s="32">
        <v>143829</v>
      </c>
      <c r="N88" s="22"/>
    </row>
    <row r="89" spans="1:14" s="35" customFormat="1" ht="24.95" customHeight="1" x14ac:dyDescent="0.3">
      <c r="A89" s="28"/>
      <c r="B89" s="28" t="s">
        <v>28</v>
      </c>
      <c r="C89" s="28"/>
      <c r="D89" s="28"/>
      <c r="E89" s="28"/>
      <c r="F89" s="33"/>
      <c r="G89" s="36">
        <f>INT(SUM(G86:G88))</f>
        <v>0</v>
      </c>
      <c r="H89" s="33"/>
      <c r="I89" s="36">
        <f>INT(SUM(I86:I88))</f>
        <v>323615</v>
      </c>
      <c r="J89" s="28"/>
      <c r="K89" s="36">
        <f>INT(SUM(K86:K88))</f>
        <v>0</v>
      </c>
      <c r="L89" s="28"/>
      <c r="M89" s="36">
        <f>INT(SUM(M86:M88))</f>
        <v>323615</v>
      </c>
      <c r="N89" s="34"/>
    </row>
    <row r="90" spans="1:14" ht="24.95" customHeight="1" x14ac:dyDescent="0.3">
      <c r="A90" s="117" t="s">
        <v>541</v>
      </c>
      <c r="B90" s="28" t="s">
        <v>298</v>
      </c>
      <c r="C90" s="27"/>
      <c r="D90" s="27"/>
      <c r="E90" s="27"/>
      <c r="F90" s="32"/>
      <c r="G90" s="27"/>
      <c r="H90" s="32"/>
      <c r="I90" s="32"/>
      <c r="J90" s="27"/>
      <c r="K90" s="27"/>
      <c r="L90" s="27"/>
      <c r="M90" s="32"/>
      <c r="N90" s="22" t="s">
        <v>89</v>
      </c>
    </row>
    <row r="91" spans="1:14" ht="24.95" customHeight="1" x14ac:dyDescent="0.3">
      <c r="A91" s="27"/>
      <c r="B91" s="27" t="s">
        <v>80</v>
      </c>
      <c r="C91" s="27" t="s">
        <v>78</v>
      </c>
      <c r="D91" s="27" t="s">
        <v>63</v>
      </c>
      <c r="E91" s="27">
        <v>0.4</v>
      </c>
      <c r="F91" s="32"/>
      <c r="G91" s="27"/>
      <c r="H91" s="32">
        <v>239716</v>
      </c>
      <c r="I91" s="32">
        <v>95886</v>
      </c>
      <c r="J91" s="27"/>
      <c r="K91" s="27"/>
      <c r="L91" s="27"/>
      <c r="M91" s="32">
        <v>95886</v>
      </c>
      <c r="N91" s="22"/>
    </row>
    <row r="92" spans="1:14" s="35" customFormat="1" ht="24.95" customHeight="1" x14ac:dyDescent="0.3">
      <c r="A92" s="28"/>
      <c r="B92" s="28" t="s">
        <v>28</v>
      </c>
      <c r="C92" s="28"/>
      <c r="D92" s="28"/>
      <c r="E92" s="28"/>
      <c r="F92" s="33"/>
      <c r="G92" s="36">
        <f>INT(SUM(G91))</f>
        <v>0</v>
      </c>
      <c r="H92" s="33"/>
      <c r="I92" s="36">
        <f>INT(SUM(I91))</f>
        <v>95886</v>
      </c>
      <c r="J92" s="28"/>
      <c r="K92" s="36">
        <f>INT(SUM(K91))</f>
        <v>0</v>
      </c>
      <c r="L92" s="28"/>
      <c r="M92" s="36">
        <f>INT(SUM(M91))</f>
        <v>95886</v>
      </c>
      <c r="N92" s="34"/>
    </row>
    <row r="93" spans="1:14" ht="24.95" customHeight="1" x14ac:dyDescent="0.3">
      <c r="A93" s="117" t="s">
        <v>507</v>
      </c>
      <c r="B93" s="28" t="s">
        <v>503</v>
      </c>
      <c r="C93" s="72"/>
      <c r="D93" s="72"/>
      <c r="E93" s="72"/>
      <c r="F93" s="32"/>
      <c r="G93" s="72"/>
      <c r="H93" s="32"/>
      <c r="I93" s="32"/>
      <c r="J93" s="72"/>
      <c r="K93" s="72"/>
      <c r="L93" s="72"/>
      <c r="M93" s="32"/>
      <c r="N93" s="22" t="s">
        <v>329</v>
      </c>
    </row>
    <row r="94" spans="1:14" ht="24.95" customHeight="1" x14ac:dyDescent="0.3">
      <c r="A94" s="72"/>
      <c r="B94" s="84" t="s">
        <v>504</v>
      </c>
      <c r="C94" s="72" t="s">
        <v>321</v>
      </c>
      <c r="D94" s="72" t="s">
        <v>322</v>
      </c>
      <c r="E94" s="72">
        <v>1</v>
      </c>
      <c r="F94" s="32">
        <v>151235</v>
      </c>
      <c r="G94" s="32">
        <v>151235</v>
      </c>
      <c r="H94" s="32"/>
      <c r="I94" s="32">
        <v>0</v>
      </c>
      <c r="J94" s="72"/>
      <c r="K94" s="72"/>
      <c r="L94" s="72"/>
      <c r="M94" s="32">
        <v>151235</v>
      </c>
      <c r="N94" s="22"/>
    </row>
    <row r="95" spans="1:14" ht="24.95" customHeight="1" x14ac:dyDescent="0.3">
      <c r="A95" s="72"/>
      <c r="B95" s="72"/>
      <c r="C95" s="72" t="s">
        <v>323</v>
      </c>
      <c r="D95" s="72" t="s">
        <v>326</v>
      </c>
      <c r="E95" s="72">
        <v>24.4</v>
      </c>
      <c r="F95" s="32">
        <v>1339.47</v>
      </c>
      <c r="G95" s="32">
        <v>32683</v>
      </c>
      <c r="H95" s="32"/>
      <c r="I95" s="32"/>
      <c r="J95" s="72"/>
      <c r="K95" s="72"/>
      <c r="L95" s="72"/>
      <c r="M95" s="32"/>
      <c r="N95" s="22"/>
    </row>
    <row r="96" spans="1:14" ht="24.95" customHeight="1" x14ac:dyDescent="0.3">
      <c r="A96" s="72"/>
      <c r="B96" s="72"/>
      <c r="C96" s="72" t="s">
        <v>327</v>
      </c>
      <c r="D96" s="72" t="s">
        <v>328</v>
      </c>
      <c r="E96" s="72">
        <v>1</v>
      </c>
      <c r="F96" s="32"/>
      <c r="G96" s="81">
        <v>6536</v>
      </c>
      <c r="H96" s="32"/>
      <c r="I96" s="32"/>
      <c r="J96" s="72"/>
      <c r="K96" s="72"/>
      <c r="L96" s="72"/>
      <c r="M96" s="32"/>
      <c r="N96" s="22"/>
    </row>
    <row r="97" spans="1:14" ht="24.95" customHeight="1" x14ac:dyDescent="0.3">
      <c r="A97" s="72"/>
      <c r="B97" s="72"/>
      <c r="C97" s="72" t="s">
        <v>324</v>
      </c>
      <c r="D97" s="72" t="s">
        <v>325</v>
      </c>
      <c r="E97" s="72">
        <v>0.20832999999999999</v>
      </c>
      <c r="F97" s="32"/>
      <c r="G97" s="72"/>
      <c r="H97" s="32">
        <v>202885</v>
      </c>
      <c r="I97" s="32">
        <v>42267</v>
      </c>
      <c r="J97" s="72"/>
      <c r="K97" s="80"/>
      <c r="L97" s="72"/>
      <c r="M97" s="32"/>
      <c r="N97" s="22"/>
    </row>
    <row r="98" spans="1:14" s="35" customFormat="1" ht="24.95" customHeight="1" x14ac:dyDescent="0.3">
      <c r="A98" s="28"/>
      <c r="B98" s="28" t="s">
        <v>28</v>
      </c>
      <c r="C98" s="28"/>
      <c r="D98" s="28"/>
      <c r="E98" s="28"/>
      <c r="F98" s="33"/>
      <c r="G98" s="36">
        <f>INT(SUM(G94:G97))</f>
        <v>190454</v>
      </c>
      <c r="H98" s="33"/>
      <c r="I98" s="36">
        <f>INT(SUM(I94:I97))</f>
        <v>42267</v>
      </c>
      <c r="J98" s="28"/>
      <c r="K98" s="36">
        <f>INT(SUM(K94:K97))</f>
        <v>0</v>
      </c>
      <c r="L98" s="28"/>
      <c r="M98" s="36">
        <f>INT(SUM(M94:M97))</f>
        <v>151235</v>
      </c>
      <c r="N98" s="34"/>
    </row>
    <row r="99" spans="1:14" s="35" customFormat="1" ht="18" customHeight="1" x14ac:dyDescent="0.3">
      <c r="A99" s="123"/>
      <c r="B99" s="78"/>
      <c r="C99" s="78"/>
      <c r="D99" s="78"/>
      <c r="E99" s="78"/>
      <c r="F99" s="79"/>
      <c r="G99" s="78"/>
      <c r="H99" s="79"/>
      <c r="I99" s="79"/>
      <c r="J99" s="78"/>
      <c r="K99" s="78"/>
      <c r="L99" s="78"/>
      <c r="M99" s="79"/>
      <c r="N99" s="124"/>
    </row>
    <row r="100" spans="1:14" s="35" customFormat="1" ht="18" customHeight="1" x14ac:dyDescent="0.3">
      <c r="A100" s="78"/>
      <c r="B100" s="78"/>
      <c r="C100" s="78"/>
      <c r="D100" s="78"/>
      <c r="E100" s="78"/>
      <c r="F100" s="79"/>
      <c r="G100" s="78"/>
      <c r="H100" s="79"/>
      <c r="I100" s="79"/>
      <c r="J100" s="78"/>
      <c r="K100" s="78"/>
      <c r="L100" s="78"/>
      <c r="M100" s="79"/>
      <c r="N100" s="125"/>
    </row>
    <row r="101" spans="1:14" s="35" customFormat="1" ht="18" customHeight="1" x14ac:dyDescent="0.3">
      <c r="A101" s="78"/>
      <c r="B101" s="78"/>
      <c r="C101" s="78"/>
      <c r="D101" s="78"/>
      <c r="E101" s="78"/>
      <c r="F101" s="79"/>
      <c r="G101" s="78"/>
      <c r="H101" s="79"/>
      <c r="I101" s="79"/>
      <c r="J101" s="78"/>
      <c r="K101" s="78"/>
      <c r="L101" s="78"/>
      <c r="M101" s="79"/>
      <c r="N101" s="125"/>
    </row>
    <row r="102" spans="1:14" ht="18" customHeight="1" x14ac:dyDescent="0.3">
      <c r="A102" s="119"/>
      <c r="B102" s="119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26"/>
    </row>
    <row r="103" spans="1:14" ht="18" customHeight="1" x14ac:dyDescent="0.3">
      <c r="A103" s="13"/>
      <c r="B103" s="1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26"/>
    </row>
    <row r="104" spans="1:14" x14ac:dyDescent="0.3">
      <c r="A104" s="37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1"/>
    </row>
  </sheetData>
  <autoFilter ref="B4:N4"/>
  <mergeCells count="10">
    <mergeCell ref="A3:A4"/>
    <mergeCell ref="A1:N1"/>
    <mergeCell ref="J3:K3"/>
    <mergeCell ref="L3:M3"/>
    <mergeCell ref="B3:B4"/>
    <mergeCell ref="C3:C4"/>
    <mergeCell ref="D3:D4"/>
    <mergeCell ref="E3:E4"/>
    <mergeCell ref="F3:G3"/>
    <mergeCell ref="H3:I3"/>
  </mergeCells>
  <phoneticPr fontId="1" type="noConversion"/>
  <printOptions horizontalCentered="1"/>
  <pageMargins left="0.51181102362204722" right="0.31496062992125984" top="0.74803149606299213" bottom="0.74803149606299213" header="0.31496062992125984" footer="0.31496062992125984"/>
  <pageSetup paperSize="9" scale="75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workbookViewId="0">
      <pane ySplit="4" topLeftCell="A83" activePane="bottomLeft" state="frozen"/>
      <selection activeCell="H28" sqref="H28"/>
      <selection pane="bottomLeft" activeCell="B2" sqref="B2"/>
    </sheetView>
  </sheetViews>
  <sheetFormatPr defaultRowHeight="12" x14ac:dyDescent="0.3"/>
  <cols>
    <col min="1" max="1" width="24.25" style="13" bestFit="1" customWidth="1"/>
    <col min="2" max="2" width="33.375" style="13" customWidth="1"/>
    <col min="3" max="3" width="7" style="13" customWidth="1"/>
    <col min="4" max="4" width="7.25" style="13" customWidth="1"/>
    <col min="5" max="5" width="7.625" style="13" customWidth="1"/>
    <col min="6" max="6" width="8.25" style="13" customWidth="1"/>
    <col min="7" max="7" width="7.875" style="13" customWidth="1"/>
    <col min="8" max="8" width="9" style="13"/>
    <col min="9" max="9" width="9.125" style="13" customWidth="1"/>
    <col min="10" max="10" width="6.625" style="18" customWidth="1"/>
    <col min="11" max="11" width="10.875" style="13" bestFit="1" customWidth="1"/>
    <col min="12" max="12" width="11.5" style="13" bestFit="1" customWidth="1"/>
    <col min="13" max="16384" width="9" style="13"/>
  </cols>
  <sheetData>
    <row r="1" spans="1:12" ht="27" customHeight="1" x14ac:dyDescent="0.3">
      <c r="A1" s="182" t="s">
        <v>554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ht="15" customHeight="1" x14ac:dyDescent="0.3">
      <c r="A2" s="133" t="str">
        <f>표지!B6</f>
        <v>공사명  :  OOO주식회사 흡수에의한시설 OOOCMM 설치공사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0.100000000000001" customHeight="1" x14ac:dyDescent="0.3">
      <c r="A3" s="185" t="s">
        <v>22</v>
      </c>
      <c r="B3" s="185" t="s">
        <v>11</v>
      </c>
      <c r="C3" s="185" t="s">
        <v>90</v>
      </c>
      <c r="D3" s="185"/>
      <c r="E3" s="185"/>
      <c r="F3" s="185"/>
      <c r="G3" s="185"/>
      <c r="H3" s="185"/>
      <c r="I3" s="185" t="s">
        <v>91</v>
      </c>
      <c r="J3" s="185"/>
      <c r="K3" s="185"/>
      <c r="L3" s="186" t="s">
        <v>92</v>
      </c>
    </row>
    <row r="4" spans="1:12" ht="20.100000000000001" customHeight="1" x14ac:dyDescent="0.3">
      <c r="A4" s="185"/>
      <c r="B4" s="185"/>
      <c r="C4" s="15" t="s">
        <v>93</v>
      </c>
      <c r="D4" s="15" t="s">
        <v>94</v>
      </c>
      <c r="E4" s="15" t="s">
        <v>95</v>
      </c>
      <c r="F4" s="15" t="s">
        <v>96</v>
      </c>
      <c r="G4" s="185" t="s">
        <v>261</v>
      </c>
      <c r="H4" s="185"/>
      <c r="I4" s="15" t="s">
        <v>97</v>
      </c>
      <c r="J4" s="14" t="s">
        <v>12</v>
      </c>
      <c r="K4" s="15" t="s">
        <v>98</v>
      </c>
      <c r="L4" s="186"/>
    </row>
    <row r="5" spans="1:12" ht="24.95" customHeight="1" x14ac:dyDescent="0.3">
      <c r="A5" s="71" t="s">
        <v>497</v>
      </c>
      <c r="B5" s="75"/>
      <c r="C5" s="15"/>
      <c r="D5" s="15"/>
      <c r="E5" s="15"/>
      <c r="F5" s="15"/>
      <c r="G5" s="75"/>
      <c r="H5" s="75"/>
      <c r="I5" s="15"/>
      <c r="J5" s="75"/>
      <c r="K5" s="15"/>
      <c r="L5" s="76"/>
    </row>
    <row r="6" spans="1:12" ht="24.95" customHeight="1" x14ac:dyDescent="0.3">
      <c r="A6" s="71"/>
      <c r="B6" s="75"/>
      <c r="C6" s="15"/>
      <c r="D6" s="15"/>
      <c r="E6" s="15"/>
      <c r="F6" s="15"/>
      <c r="G6" s="75"/>
      <c r="H6" s="75"/>
      <c r="I6" s="15"/>
      <c r="J6" s="75"/>
      <c r="K6" s="15"/>
      <c r="L6" s="76"/>
    </row>
    <row r="7" spans="1:12" ht="24.95" customHeight="1" x14ac:dyDescent="0.3">
      <c r="A7" s="15" t="s">
        <v>332</v>
      </c>
      <c r="B7" s="15" t="s">
        <v>555</v>
      </c>
      <c r="C7" s="15">
        <v>10</v>
      </c>
      <c r="D7" s="15"/>
      <c r="E7" s="15"/>
      <c r="F7" s="15">
        <v>1</v>
      </c>
      <c r="G7" s="15"/>
      <c r="H7" s="15"/>
      <c r="I7" s="15">
        <v>7.54</v>
      </c>
      <c r="J7" s="14" t="s">
        <v>82</v>
      </c>
      <c r="K7" s="15"/>
      <c r="L7" s="75" t="s">
        <v>637</v>
      </c>
    </row>
    <row r="8" spans="1:12" ht="24.95" customHeight="1" x14ac:dyDescent="0.3">
      <c r="A8" s="75" t="s">
        <v>334</v>
      </c>
      <c r="B8" s="15"/>
      <c r="C8" s="15"/>
      <c r="D8" s="15"/>
      <c r="E8" s="15"/>
      <c r="F8" s="15"/>
      <c r="G8" s="15"/>
      <c r="H8" s="15"/>
      <c r="I8" s="87">
        <f>SUM(I7:I7)</f>
        <v>7.54</v>
      </c>
      <c r="J8" s="75" t="s">
        <v>31</v>
      </c>
      <c r="K8" s="15"/>
      <c r="L8" s="75"/>
    </row>
    <row r="9" spans="1:12" ht="24.95" customHeight="1" x14ac:dyDescent="0.3">
      <c r="A9" s="71" t="s">
        <v>424</v>
      </c>
      <c r="B9" s="15"/>
      <c r="C9" s="15"/>
      <c r="D9" s="15"/>
      <c r="E9" s="15"/>
      <c r="F9" s="15"/>
      <c r="G9" s="15"/>
      <c r="H9" s="15"/>
      <c r="I9" s="87">
        <f>SUM(I8)*10%</f>
        <v>0.754</v>
      </c>
      <c r="J9" s="75" t="s">
        <v>31</v>
      </c>
      <c r="K9" s="15"/>
      <c r="L9" s="75"/>
    </row>
    <row r="10" spans="1:12" ht="24.95" customHeight="1" x14ac:dyDescent="0.3">
      <c r="A10" s="75" t="s">
        <v>425</v>
      </c>
      <c r="B10" s="15"/>
      <c r="C10" s="15"/>
      <c r="D10" s="15"/>
      <c r="E10" s="15"/>
      <c r="F10" s="15"/>
      <c r="G10" s="15"/>
      <c r="H10" s="15"/>
      <c r="I10" s="87">
        <f>SUM(I8:I9)</f>
        <v>8.2940000000000005</v>
      </c>
      <c r="J10" s="75" t="s">
        <v>31</v>
      </c>
      <c r="K10" s="15"/>
      <c r="L10" s="75"/>
    </row>
    <row r="11" spans="1:12" ht="24.95" customHeight="1" x14ac:dyDescent="0.3">
      <c r="A11" s="75"/>
      <c r="B11" s="15"/>
      <c r="C11" s="15"/>
      <c r="D11" s="15"/>
      <c r="E11" s="15"/>
      <c r="F11" s="15"/>
      <c r="G11" s="15"/>
      <c r="H11" s="15"/>
      <c r="I11" s="87"/>
      <c r="J11" s="75"/>
      <c r="K11" s="15"/>
      <c r="L11" s="75"/>
    </row>
    <row r="12" spans="1:12" ht="24.95" customHeight="1" x14ac:dyDescent="0.3">
      <c r="A12" s="15" t="s">
        <v>331</v>
      </c>
      <c r="B12" s="15" t="s">
        <v>556</v>
      </c>
      <c r="C12" s="15">
        <v>6</v>
      </c>
      <c r="D12" s="191">
        <f>3000*3.14</f>
        <v>9420</v>
      </c>
      <c r="E12" s="15">
        <v>5500</v>
      </c>
      <c r="F12" s="15">
        <v>1</v>
      </c>
      <c r="G12" s="15"/>
      <c r="H12" s="15"/>
      <c r="I12" s="15">
        <f>ROUNDDOWN((D12*E12*F12)/1000000,2)</f>
        <v>51.81</v>
      </c>
      <c r="J12" s="75" t="s">
        <v>31</v>
      </c>
      <c r="K12" s="15"/>
      <c r="L12" s="75" t="s">
        <v>614</v>
      </c>
    </row>
    <row r="13" spans="1:12" ht="24.95" customHeight="1" x14ac:dyDescent="0.3">
      <c r="A13" s="15" t="s">
        <v>340</v>
      </c>
      <c r="B13" s="15" t="s">
        <v>557</v>
      </c>
      <c r="C13" s="15">
        <v>6</v>
      </c>
      <c r="D13" s="191">
        <f>((1100*1000)*2+(1800*1000))/1000</f>
        <v>4000</v>
      </c>
      <c r="E13" s="15">
        <v>1000</v>
      </c>
      <c r="F13" s="15">
        <v>1</v>
      </c>
      <c r="G13" s="15"/>
      <c r="H13" s="15"/>
      <c r="I13" s="15">
        <f t="shared" ref="I13:I18" si="0">ROUNDDOWN((D13*E13*F13)/1000000,2)</f>
        <v>4</v>
      </c>
      <c r="J13" s="75" t="s">
        <v>31</v>
      </c>
      <c r="K13" s="15"/>
      <c r="L13" s="75" t="s">
        <v>615</v>
      </c>
    </row>
    <row r="14" spans="1:12" ht="24.95" customHeight="1" x14ac:dyDescent="0.3">
      <c r="A14" s="15" t="s">
        <v>333</v>
      </c>
      <c r="B14" s="15" t="s">
        <v>558</v>
      </c>
      <c r="C14" s="15">
        <v>6</v>
      </c>
      <c r="D14" s="15">
        <v>1100</v>
      </c>
      <c r="E14" s="15">
        <v>1800</v>
      </c>
      <c r="F14" s="15">
        <v>1</v>
      </c>
      <c r="G14" s="15"/>
      <c r="H14" s="15"/>
      <c r="I14" s="15">
        <f t="shared" si="0"/>
        <v>1.98</v>
      </c>
      <c r="J14" s="75" t="s">
        <v>31</v>
      </c>
      <c r="K14" s="15"/>
      <c r="L14" s="75" t="s">
        <v>616</v>
      </c>
    </row>
    <row r="15" spans="1:12" ht="24.95" customHeight="1" x14ac:dyDescent="0.3">
      <c r="A15" s="15" t="s">
        <v>337</v>
      </c>
      <c r="B15" s="15" t="s">
        <v>336</v>
      </c>
      <c r="C15" s="15">
        <v>6</v>
      </c>
      <c r="D15" s="15"/>
      <c r="E15" s="15"/>
      <c r="F15" s="15">
        <v>2</v>
      </c>
      <c r="G15" s="15"/>
      <c r="H15" s="15"/>
      <c r="I15" s="15">
        <f t="shared" si="0"/>
        <v>0</v>
      </c>
      <c r="J15" s="75" t="s">
        <v>31</v>
      </c>
      <c r="K15" s="15"/>
      <c r="L15" s="75" t="s">
        <v>617</v>
      </c>
    </row>
    <row r="16" spans="1:12" ht="24.95" customHeight="1" x14ac:dyDescent="0.3">
      <c r="A16" s="15" t="s">
        <v>335</v>
      </c>
      <c r="B16" s="15" t="s">
        <v>551</v>
      </c>
      <c r="C16" s="15">
        <v>6</v>
      </c>
      <c r="D16" s="15">
        <v>100</v>
      </c>
      <c r="E16" s="15">
        <f>600*3.14</f>
        <v>1884</v>
      </c>
      <c r="F16" s="15">
        <v>4</v>
      </c>
      <c r="G16" s="15"/>
      <c r="H16" s="15"/>
      <c r="I16" s="15">
        <f t="shared" si="0"/>
        <v>0.75</v>
      </c>
      <c r="J16" s="75" t="s">
        <v>31</v>
      </c>
      <c r="K16" s="15"/>
      <c r="L16" s="75" t="s">
        <v>618</v>
      </c>
    </row>
    <row r="17" spans="1:12" ht="24.95" customHeight="1" x14ac:dyDescent="0.3">
      <c r="A17" s="15" t="s">
        <v>342</v>
      </c>
      <c r="B17" s="15" t="s">
        <v>338</v>
      </c>
      <c r="C17" s="15">
        <v>6</v>
      </c>
      <c r="D17" s="15">
        <v>500</v>
      </c>
      <c r="E17" s="15">
        <v>500</v>
      </c>
      <c r="F17" s="15">
        <v>1</v>
      </c>
      <c r="G17" s="15"/>
      <c r="H17" s="15"/>
      <c r="I17" s="15">
        <f t="shared" si="0"/>
        <v>0.25</v>
      </c>
      <c r="J17" s="75" t="s">
        <v>31</v>
      </c>
      <c r="K17" s="15"/>
      <c r="L17" s="75" t="s">
        <v>619</v>
      </c>
    </row>
    <row r="18" spans="1:12" ht="24.95" customHeight="1" x14ac:dyDescent="0.3">
      <c r="A18" s="15" t="s">
        <v>341</v>
      </c>
      <c r="B18" s="15" t="s">
        <v>339</v>
      </c>
      <c r="C18" s="15">
        <v>6</v>
      </c>
      <c r="D18" s="15">
        <v>50</v>
      </c>
      <c r="E18" s="15">
        <v>1600</v>
      </c>
      <c r="F18" s="15">
        <v>1</v>
      </c>
      <c r="G18" s="15"/>
      <c r="H18" s="15"/>
      <c r="I18" s="15">
        <f t="shared" si="0"/>
        <v>0.08</v>
      </c>
      <c r="J18" s="75" t="s">
        <v>31</v>
      </c>
      <c r="K18" s="15"/>
      <c r="L18" s="75" t="s">
        <v>620</v>
      </c>
    </row>
    <row r="19" spans="1:12" ht="24.95" customHeight="1" x14ac:dyDescent="0.3">
      <c r="A19" s="75" t="s">
        <v>334</v>
      </c>
      <c r="B19" s="15"/>
      <c r="C19" s="15"/>
      <c r="D19" s="15"/>
      <c r="E19" s="15"/>
      <c r="F19" s="15"/>
      <c r="G19" s="15"/>
      <c r="H19" s="15"/>
      <c r="I19" s="87">
        <f>SUM(I12:I16)</f>
        <v>58.54</v>
      </c>
      <c r="J19" s="75" t="s">
        <v>31</v>
      </c>
      <c r="K19" s="15"/>
      <c r="L19" s="75"/>
    </row>
    <row r="20" spans="1:12" ht="24.95" customHeight="1" x14ac:dyDescent="0.3">
      <c r="A20" s="71" t="s">
        <v>424</v>
      </c>
      <c r="B20" s="15"/>
      <c r="C20" s="15"/>
      <c r="D20" s="15"/>
      <c r="E20" s="15"/>
      <c r="F20" s="15"/>
      <c r="G20" s="15"/>
      <c r="H20" s="15"/>
      <c r="I20" s="87">
        <f>SUM(I19)*10%</f>
        <v>5.8540000000000001</v>
      </c>
      <c r="J20" s="75" t="s">
        <v>31</v>
      </c>
      <c r="K20" s="15"/>
      <c r="L20" s="75"/>
    </row>
    <row r="21" spans="1:12" ht="24.95" customHeight="1" x14ac:dyDescent="0.3">
      <c r="A21" s="75" t="s">
        <v>425</v>
      </c>
      <c r="B21" s="15"/>
      <c r="C21" s="15"/>
      <c r="D21" s="15"/>
      <c r="E21" s="15"/>
      <c r="F21" s="15"/>
      <c r="G21" s="15"/>
      <c r="H21" s="15"/>
      <c r="I21" s="87">
        <f>SUM(I19:I20)</f>
        <v>64.394000000000005</v>
      </c>
      <c r="J21" s="75" t="s">
        <v>31</v>
      </c>
      <c r="K21" s="15"/>
      <c r="L21" s="75"/>
    </row>
    <row r="22" spans="1:12" ht="24.95" customHeight="1" x14ac:dyDescent="0.3">
      <c r="A22" s="75"/>
      <c r="B22" s="15"/>
      <c r="C22" s="15"/>
      <c r="D22" s="15"/>
      <c r="E22" s="15"/>
      <c r="F22" s="15"/>
      <c r="G22" s="15"/>
      <c r="H22" s="15"/>
      <c r="I22" s="87"/>
      <c r="J22" s="75"/>
      <c r="K22" s="15"/>
      <c r="L22" s="75"/>
    </row>
    <row r="23" spans="1:12" ht="24.95" customHeight="1" x14ac:dyDescent="0.3">
      <c r="A23" s="71" t="s">
        <v>343</v>
      </c>
      <c r="B23" s="15" t="s">
        <v>559</v>
      </c>
      <c r="C23" s="15">
        <v>5</v>
      </c>
      <c r="D23" s="15">
        <v>2983</v>
      </c>
      <c r="E23" s="15">
        <v>2800</v>
      </c>
      <c r="F23" s="15">
        <v>1</v>
      </c>
      <c r="G23" s="15"/>
      <c r="H23" s="15"/>
      <c r="I23" s="86">
        <f>(D23*E23*F23)/1000000</f>
        <v>8.3523999999999994</v>
      </c>
      <c r="J23" s="75" t="s">
        <v>31</v>
      </c>
      <c r="K23" s="15"/>
      <c r="L23" s="75" t="s">
        <v>621</v>
      </c>
    </row>
    <row r="24" spans="1:12" ht="24.95" customHeight="1" x14ac:dyDescent="0.3">
      <c r="A24" s="71" t="s">
        <v>344</v>
      </c>
      <c r="B24" s="15" t="s">
        <v>560</v>
      </c>
      <c r="C24" s="15">
        <v>5</v>
      </c>
      <c r="D24" s="15">
        <v>4239</v>
      </c>
      <c r="E24" s="15">
        <v>300</v>
      </c>
      <c r="F24" s="15">
        <v>1</v>
      </c>
      <c r="G24" s="15"/>
      <c r="H24" s="15"/>
      <c r="I24" s="86">
        <f>(D24*E24*F24)/1000000</f>
        <v>1.2717000000000001</v>
      </c>
      <c r="J24" s="75" t="s">
        <v>31</v>
      </c>
      <c r="K24" s="15"/>
      <c r="L24" s="75" t="s">
        <v>622</v>
      </c>
    </row>
    <row r="25" spans="1:12" ht="24.95" customHeight="1" x14ac:dyDescent="0.3">
      <c r="A25" s="71" t="s">
        <v>344</v>
      </c>
      <c r="B25" s="15" t="s">
        <v>561</v>
      </c>
      <c r="C25" s="15">
        <v>5</v>
      </c>
      <c r="D25" s="15">
        <v>888</v>
      </c>
      <c r="E25" s="15">
        <v>1150</v>
      </c>
      <c r="F25" s="15">
        <v>2</v>
      </c>
      <c r="G25" s="15"/>
      <c r="H25" s="15"/>
      <c r="I25" s="86">
        <f>(D25*E25*F25)/1000000</f>
        <v>2.0424000000000002</v>
      </c>
      <c r="J25" s="75" t="s">
        <v>31</v>
      </c>
      <c r="K25" s="15"/>
      <c r="L25" s="75" t="s">
        <v>623</v>
      </c>
    </row>
    <row r="26" spans="1:12" ht="24.95" customHeight="1" x14ac:dyDescent="0.3">
      <c r="A26" s="75" t="s">
        <v>345</v>
      </c>
      <c r="B26" s="15"/>
      <c r="C26" s="15"/>
      <c r="D26" s="15"/>
      <c r="E26" s="15"/>
      <c r="F26" s="15"/>
      <c r="G26" s="15"/>
      <c r="H26" s="15"/>
      <c r="I26" s="87">
        <f>SUM(I23:I25)</f>
        <v>11.666499999999999</v>
      </c>
      <c r="J26" s="75" t="s">
        <v>31</v>
      </c>
      <c r="K26" s="15"/>
      <c r="L26" s="75"/>
    </row>
    <row r="27" spans="1:12" ht="24.95" customHeight="1" x14ac:dyDescent="0.3">
      <c r="A27" s="71" t="s">
        <v>424</v>
      </c>
      <c r="B27" s="15"/>
      <c r="C27" s="15"/>
      <c r="D27" s="15"/>
      <c r="E27" s="15"/>
      <c r="F27" s="15"/>
      <c r="G27" s="15"/>
      <c r="H27" s="15"/>
      <c r="I27" s="87">
        <f>SUM(I26)*10%</f>
        <v>1.16665</v>
      </c>
      <c r="J27" s="75" t="s">
        <v>31</v>
      </c>
      <c r="K27" s="15"/>
      <c r="L27" s="75"/>
    </row>
    <row r="28" spans="1:12" ht="24.95" customHeight="1" x14ac:dyDescent="0.3">
      <c r="A28" s="75" t="s">
        <v>425</v>
      </c>
      <c r="B28" s="15"/>
      <c r="C28" s="15"/>
      <c r="D28" s="15"/>
      <c r="E28" s="15"/>
      <c r="F28" s="15"/>
      <c r="G28" s="15"/>
      <c r="H28" s="15"/>
      <c r="I28" s="87">
        <f>SUM(I26:I27)</f>
        <v>12.83315</v>
      </c>
      <c r="J28" s="75" t="s">
        <v>31</v>
      </c>
      <c r="K28" s="15"/>
      <c r="L28" s="75"/>
    </row>
    <row r="29" spans="1:12" ht="24.95" customHeight="1" x14ac:dyDescent="0.3">
      <c r="A29" s="75"/>
      <c r="B29" s="15"/>
      <c r="C29" s="15"/>
      <c r="D29" s="15"/>
      <c r="E29" s="15"/>
      <c r="F29" s="15"/>
      <c r="G29" s="15"/>
      <c r="H29" s="15"/>
      <c r="I29" s="87"/>
      <c r="J29" s="75"/>
      <c r="K29" s="15"/>
      <c r="L29" s="75"/>
    </row>
    <row r="30" spans="1:12" ht="24.95" customHeight="1" x14ac:dyDescent="0.3">
      <c r="A30" s="75" t="s">
        <v>438</v>
      </c>
      <c r="B30" s="15"/>
      <c r="C30" s="15"/>
      <c r="D30" s="15"/>
      <c r="E30" s="15"/>
      <c r="F30" s="15"/>
      <c r="G30" s="15"/>
      <c r="H30" s="15"/>
      <c r="I30" s="87">
        <f>SUM(I10+I21+I28)</f>
        <v>85.521150000000006</v>
      </c>
      <c r="J30" s="75" t="s">
        <v>31</v>
      </c>
      <c r="K30" s="15"/>
      <c r="L30" s="75"/>
    </row>
    <row r="31" spans="1:12" ht="24.95" customHeight="1" x14ac:dyDescent="0.3">
      <c r="A31" s="75" t="s">
        <v>437</v>
      </c>
      <c r="B31" s="142" t="s">
        <v>580</v>
      </c>
      <c r="C31" s="15"/>
      <c r="D31" s="15"/>
      <c r="E31" s="15"/>
      <c r="F31" s="15"/>
      <c r="G31" s="15"/>
      <c r="H31" s="15"/>
      <c r="I31" s="87">
        <v>57.79</v>
      </c>
      <c r="J31" s="75" t="s">
        <v>31</v>
      </c>
      <c r="K31" s="15"/>
      <c r="L31" s="75"/>
    </row>
    <row r="32" spans="1:12" ht="24.95" customHeight="1" x14ac:dyDescent="0.3">
      <c r="A32" s="75"/>
      <c r="B32" s="86"/>
      <c r="C32" s="15"/>
      <c r="D32" s="15"/>
      <c r="E32" s="15"/>
      <c r="F32" s="15"/>
      <c r="G32" s="15"/>
      <c r="H32" s="15"/>
      <c r="I32" s="87"/>
      <c r="J32" s="75"/>
      <c r="K32" s="15"/>
      <c r="L32" s="75"/>
    </row>
    <row r="33" spans="1:12" ht="24.95" customHeight="1" x14ac:dyDescent="0.3">
      <c r="A33" s="71" t="s">
        <v>365</v>
      </c>
      <c r="B33" s="15" t="s">
        <v>536</v>
      </c>
      <c r="C33" s="15"/>
      <c r="D33" s="15"/>
      <c r="E33" s="15">
        <v>4800</v>
      </c>
      <c r="F33" s="15">
        <v>3</v>
      </c>
      <c r="G33" s="15"/>
      <c r="H33" s="15"/>
      <c r="I33" s="86">
        <f>(E33*F33)/1000</f>
        <v>14.4</v>
      </c>
      <c r="J33" s="75" t="s">
        <v>346</v>
      </c>
      <c r="K33" s="15"/>
      <c r="L33" s="75" t="s">
        <v>624</v>
      </c>
    </row>
    <row r="34" spans="1:12" ht="24.95" customHeight="1" x14ac:dyDescent="0.3">
      <c r="A34" s="71" t="s">
        <v>365</v>
      </c>
      <c r="B34" s="15" t="s">
        <v>347</v>
      </c>
      <c r="C34" s="15"/>
      <c r="D34" s="15"/>
      <c r="E34" s="15">
        <v>2840</v>
      </c>
      <c r="F34" s="15">
        <v>2</v>
      </c>
      <c r="G34" s="15"/>
      <c r="H34" s="15"/>
      <c r="I34" s="86">
        <f>(E34*F34)/1000</f>
        <v>5.68</v>
      </c>
      <c r="J34" s="75" t="s">
        <v>346</v>
      </c>
      <c r="K34" s="15"/>
      <c r="L34" s="75" t="s">
        <v>625</v>
      </c>
    </row>
    <row r="35" spans="1:12" ht="24.95" customHeight="1" x14ac:dyDescent="0.3">
      <c r="A35" s="71" t="s">
        <v>365</v>
      </c>
      <c r="B35" s="15" t="s">
        <v>562</v>
      </c>
      <c r="C35" s="15"/>
      <c r="D35" s="15"/>
      <c r="E35" s="15">
        <v>7400</v>
      </c>
      <c r="F35" s="15">
        <v>2</v>
      </c>
      <c r="G35" s="15"/>
      <c r="H35" s="15"/>
      <c r="I35" s="86">
        <f>(E35*F35)/1000</f>
        <v>14.8</v>
      </c>
      <c r="J35" s="75" t="s">
        <v>346</v>
      </c>
      <c r="K35" s="15"/>
      <c r="L35" s="75" t="s">
        <v>626</v>
      </c>
    </row>
    <row r="36" spans="1:12" ht="24.95" customHeight="1" x14ac:dyDescent="0.3">
      <c r="A36" s="71"/>
      <c r="B36" s="15"/>
      <c r="C36" s="15"/>
      <c r="D36" s="15"/>
      <c r="E36" s="15"/>
      <c r="F36" s="15"/>
      <c r="G36" s="15"/>
      <c r="H36" s="15"/>
      <c r="I36" s="86"/>
      <c r="J36" s="75"/>
      <c r="K36" s="15"/>
      <c r="L36" s="75"/>
    </row>
    <row r="37" spans="1:12" ht="24.95" customHeight="1" x14ac:dyDescent="0.3">
      <c r="A37" s="71" t="s">
        <v>349</v>
      </c>
      <c r="B37" s="15"/>
      <c r="C37" s="15"/>
      <c r="D37" s="15"/>
      <c r="E37" s="15"/>
      <c r="F37" s="15"/>
      <c r="G37" s="15"/>
      <c r="H37" s="15"/>
      <c r="I37" s="86"/>
      <c r="J37" s="75"/>
      <c r="K37" s="15"/>
      <c r="L37" s="75"/>
    </row>
    <row r="38" spans="1:12" ht="24.95" customHeight="1" x14ac:dyDescent="0.3">
      <c r="A38" s="71" t="s">
        <v>348</v>
      </c>
      <c r="B38" s="15" t="s">
        <v>563</v>
      </c>
      <c r="C38" s="15"/>
      <c r="D38" s="15"/>
      <c r="E38" s="15">
        <v>40500</v>
      </c>
      <c r="F38" s="15">
        <v>1</v>
      </c>
      <c r="G38" s="15">
        <v>6.3659999999999997</v>
      </c>
      <c r="H38" s="15" t="s">
        <v>262</v>
      </c>
      <c r="I38" s="15">
        <f>(E38*F38)/1000</f>
        <v>40.5</v>
      </c>
      <c r="J38" s="75" t="s">
        <v>83</v>
      </c>
      <c r="K38" s="15">
        <f>G38*I38</f>
        <v>257.82299999999998</v>
      </c>
      <c r="L38" s="75" t="s">
        <v>627</v>
      </c>
    </row>
    <row r="39" spans="1:12" ht="24.95" customHeight="1" x14ac:dyDescent="0.3">
      <c r="A39" s="15" t="s">
        <v>99</v>
      </c>
      <c r="B39" s="15" t="s">
        <v>350</v>
      </c>
      <c r="C39" s="15">
        <v>6</v>
      </c>
      <c r="D39" s="15"/>
      <c r="E39" s="15">
        <v>6000</v>
      </c>
      <c r="F39" s="15">
        <v>1</v>
      </c>
      <c r="G39" s="15">
        <v>4.43</v>
      </c>
      <c r="H39" s="15" t="s">
        <v>262</v>
      </c>
      <c r="I39" s="15">
        <f>(E39*F39)/1000</f>
        <v>6</v>
      </c>
      <c r="J39" s="14" t="s">
        <v>83</v>
      </c>
      <c r="K39" s="15">
        <f>G39*I39</f>
        <v>26.58</v>
      </c>
      <c r="L39" s="75" t="s">
        <v>628</v>
      </c>
    </row>
    <row r="40" spans="1:12" ht="24.95" customHeight="1" x14ac:dyDescent="0.3">
      <c r="A40" s="15" t="s">
        <v>99</v>
      </c>
      <c r="B40" s="15" t="s">
        <v>351</v>
      </c>
      <c r="C40" s="15">
        <v>6</v>
      </c>
      <c r="D40" s="15"/>
      <c r="E40" s="15">
        <v>8480</v>
      </c>
      <c r="F40" s="15">
        <v>1</v>
      </c>
      <c r="G40" s="15">
        <v>4.43</v>
      </c>
      <c r="H40" s="15" t="s">
        <v>262</v>
      </c>
      <c r="I40" s="15">
        <f>(E40*F40)/1000</f>
        <v>8.48</v>
      </c>
      <c r="J40" s="75" t="s">
        <v>83</v>
      </c>
      <c r="K40" s="86">
        <f>G40*I40</f>
        <v>37.566400000000002</v>
      </c>
      <c r="L40" s="75" t="s">
        <v>629</v>
      </c>
    </row>
    <row r="41" spans="1:12" ht="24.95" customHeight="1" x14ac:dyDescent="0.3">
      <c r="A41" s="15" t="s">
        <v>263</v>
      </c>
      <c r="B41" s="15" t="s">
        <v>352</v>
      </c>
      <c r="C41" s="15">
        <v>4.5</v>
      </c>
      <c r="D41" s="15">
        <v>1000</v>
      </c>
      <c r="E41" s="15">
        <v>2500</v>
      </c>
      <c r="F41" s="15">
        <v>2</v>
      </c>
      <c r="G41" s="15">
        <v>13.7</v>
      </c>
      <c r="H41" s="15" t="s">
        <v>260</v>
      </c>
      <c r="I41" s="20">
        <f>(D41*E41*F41)/1000000</f>
        <v>5</v>
      </c>
      <c r="J41" s="14" t="s">
        <v>31</v>
      </c>
      <c r="K41" s="88">
        <f>G41*I41</f>
        <v>68.5</v>
      </c>
      <c r="L41" s="75" t="s">
        <v>630</v>
      </c>
    </row>
    <row r="42" spans="1:12" ht="24.95" customHeight="1" x14ac:dyDescent="0.3">
      <c r="A42" s="15"/>
      <c r="B42" s="15"/>
      <c r="C42" s="15"/>
      <c r="D42" s="15"/>
      <c r="E42" s="15"/>
      <c r="F42" s="15"/>
      <c r="G42" s="15">
        <v>1.67</v>
      </c>
      <c r="H42" s="15" t="s">
        <v>364</v>
      </c>
      <c r="I42" s="20">
        <v>3</v>
      </c>
      <c r="J42" s="75" t="s">
        <v>363</v>
      </c>
      <c r="K42" s="88"/>
      <c r="L42" s="75"/>
    </row>
    <row r="43" spans="1:12" ht="24.95" customHeight="1" x14ac:dyDescent="0.3">
      <c r="A43" s="15" t="s">
        <v>263</v>
      </c>
      <c r="B43" s="15" t="s">
        <v>353</v>
      </c>
      <c r="C43" s="15">
        <v>4.5</v>
      </c>
      <c r="D43" s="15">
        <v>800</v>
      </c>
      <c r="E43" s="15">
        <v>1140</v>
      </c>
      <c r="F43" s="15">
        <v>1</v>
      </c>
      <c r="G43" s="15">
        <v>13.7</v>
      </c>
      <c r="H43" s="15" t="s">
        <v>260</v>
      </c>
      <c r="I43" s="20">
        <f>(D43*E43*F43)/1000000</f>
        <v>0.91200000000000003</v>
      </c>
      <c r="J43" s="75" t="s">
        <v>31</v>
      </c>
      <c r="K43" s="88">
        <f>G43*I43</f>
        <v>12.494400000000001</v>
      </c>
      <c r="L43" s="75" t="s">
        <v>631</v>
      </c>
    </row>
    <row r="44" spans="1:12" ht="24.95" customHeight="1" x14ac:dyDescent="0.3">
      <c r="A44" s="15"/>
      <c r="B44" s="15"/>
      <c r="C44" s="15"/>
      <c r="D44" s="15"/>
      <c r="E44" s="15"/>
      <c r="F44" s="15"/>
      <c r="G44" s="15">
        <v>1.67</v>
      </c>
      <c r="H44" s="15" t="s">
        <v>364</v>
      </c>
      <c r="I44" s="20">
        <v>1</v>
      </c>
      <c r="J44" s="75" t="s">
        <v>363</v>
      </c>
      <c r="K44" s="88"/>
      <c r="L44" s="75"/>
    </row>
    <row r="45" spans="1:12" ht="24.95" customHeight="1" x14ac:dyDescent="0.3">
      <c r="A45" s="15" t="s">
        <v>354</v>
      </c>
      <c r="B45" s="15" t="s">
        <v>356</v>
      </c>
      <c r="C45" s="15">
        <v>6</v>
      </c>
      <c r="D45" s="15"/>
      <c r="E45" s="15">
        <v>6200</v>
      </c>
      <c r="F45" s="15">
        <v>2</v>
      </c>
      <c r="G45" s="15">
        <v>4.71</v>
      </c>
      <c r="H45" s="15" t="s">
        <v>262</v>
      </c>
      <c r="I45" s="15">
        <f t="shared" ref="I45:I50" si="1">(E45*F45)/1000</f>
        <v>12.4</v>
      </c>
      <c r="J45" s="75" t="s">
        <v>346</v>
      </c>
      <c r="K45" s="88">
        <f t="shared" ref="K45:K50" si="2">G45*I45</f>
        <v>58.404000000000003</v>
      </c>
      <c r="L45" s="75" t="s">
        <v>632</v>
      </c>
    </row>
    <row r="46" spans="1:12" ht="24.95" customHeight="1" x14ac:dyDescent="0.3">
      <c r="A46" s="15" t="s">
        <v>354</v>
      </c>
      <c r="B46" s="15" t="s">
        <v>359</v>
      </c>
      <c r="C46" s="15">
        <v>6</v>
      </c>
      <c r="D46" s="15"/>
      <c r="E46" s="15">
        <v>3080</v>
      </c>
      <c r="F46" s="15">
        <v>1</v>
      </c>
      <c r="G46" s="15">
        <v>4.71</v>
      </c>
      <c r="H46" s="15" t="s">
        <v>262</v>
      </c>
      <c r="I46" s="15">
        <f t="shared" si="1"/>
        <v>3.08</v>
      </c>
      <c r="J46" s="75" t="s">
        <v>346</v>
      </c>
      <c r="K46" s="88">
        <f>G46*I46</f>
        <v>14.5068</v>
      </c>
      <c r="L46" s="75" t="s">
        <v>633</v>
      </c>
    </row>
    <row r="47" spans="1:12" ht="24.95" customHeight="1" x14ac:dyDescent="0.3">
      <c r="A47" s="15" t="s">
        <v>362</v>
      </c>
      <c r="B47" s="15" t="s">
        <v>358</v>
      </c>
      <c r="C47" s="15">
        <v>4.5</v>
      </c>
      <c r="D47" s="15"/>
      <c r="E47" s="15">
        <v>26784</v>
      </c>
      <c r="F47" s="15">
        <v>1</v>
      </c>
      <c r="G47" s="15">
        <v>1.34</v>
      </c>
      <c r="H47" s="15" t="s">
        <v>262</v>
      </c>
      <c r="I47" s="86">
        <f t="shared" si="1"/>
        <v>26.783999999999999</v>
      </c>
      <c r="J47" s="75" t="s">
        <v>346</v>
      </c>
      <c r="K47" s="88">
        <f t="shared" si="2"/>
        <v>35.890560000000001</v>
      </c>
      <c r="L47" s="75" t="s">
        <v>634</v>
      </c>
    </row>
    <row r="48" spans="1:12" ht="24.95" customHeight="1" x14ac:dyDescent="0.3">
      <c r="A48" s="15" t="s">
        <v>355</v>
      </c>
      <c r="B48" s="15" t="s">
        <v>357</v>
      </c>
      <c r="C48" s="15"/>
      <c r="D48" s="15"/>
      <c r="E48" s="15">
        <v>30000</v>
      </c>
      <c r="F48" s="15">
        <v>2</v>
      </c>
      <c r="G48" s="15">
        <v>1.429</v>
      </c>
      <c r="H48" s="15" t="s">
        <v>262</v>
      </c>
      <c r="I48" s="15">
        <f t="shared" si="1"/>
        <v>60</v>
      </c>
      <c r="J48" s="75" t="s">
        <v>346</v>
      </c>
      <c r="K48" s="88">
        <f t="shared" si="2"/>
        <v>85.740000000000009</v>
      </c>
      <c r="L48" s="75" t="s">
        <v>635</v>
      </c>
    </row>
    <row r="49" spans="1:12" ht="24.95" customHeight="1" x14ac:dyDescent="0.3">
      <c r="A49" s="15" t="s">
        <v>355</v>
      </c>
      <c r="B49" s="15" t="s">
        <v>360</v>
      </c>
      <c r="C49" s="15"/>
      <c r="D49" s="15"/>
      <c r="E49" s="15">
        <v>10480</v>
      </c>
      <c r="F49" s="15">
        <v>1</v>
      </c>
      <c r="G49" s="15">
        <v>1.429</v>
      </c>
      <c r="H49" s="15" t="s">
        <v>262</v>
      </c>
      <c r="I49" s="15">
        <f t="shared" si="1"/>
        <v>10.48</v>
      </c>
      <c r="J49" s="75" t="s">
        <v>346</v>
      </c>
      <c r="K49" s="88">
        <f t="shared" si="2"/>
        <v>14.97592</v>
      </c>
      <c r="L49" s="75" t="s">
        <v>636</v>
      </c>
    </row>
    <row r="50" spans="1:12" ht="24.95" customHeight="1" x14ac:dyDescent="0.3">
      <c r="A50" s="15" t="s">
        <v>355</v>
      </c>
      <c r="B50" s="15" t="s">
        <v>564</v>
      </c>
      <c r="C50" s="15"/>
      <c r="D50" s="15"/>
      <c r="E50" s="15">
        <v>10400</v>
      </c>
      <c r="F50" s="15">
        <v>1</v>
      </c>
      <c r="G50" s="15">
        <v>1.429</v>
      </c>
      <c r="H50" s="15" t="s">
        <v>262</v>
      </c>
      <c r="I50" s="15">
        <f t="shared" si="1"/>
        <v>10.4</v>
      </c>
      <c r="J50" s="75" t="s">
        <v>346</v>
      </c>
      <c r="K50" s="88">
        <f t="shared" si="2"/>
        <v>14.861600000000001</v>
      </c>
      <c r="L50" s="75" t="s">
        <v>361</v>
      </c>
    </row>
    <row r="51" spans="1:12" ht="24.95" customHeight="1" x14ac:dyDescent="0.3">
      <c r="A51" s="75" t="s">
        <v>265</v>
      </c>
      <c r="B51" s="14"/>
      <c r="C51" s="15"/>
      <c r="D51" s="15"/>
      <c r="E51" s="15"/>
      <c r="F51" s="15"/>
      <c r="G51" s="15"/>
      <c r="H51" s="15"/>
      <c r="I51" s="20"/>
      <c r="J51" s="75" t="s">
        <v>407</v>
      </c>
      <c r="K51" s="88">
        <f>SUM(K7:K50)</f>
        <v>627.34267999999986</v>
      </c>
      <c r="L51" s="19"/>
    </row>
    <row r="52" spans="1:12" ht="24.95" customHeight="1" x14ac:dyDescent="0.3">
      <c r="A52" s="75" t="s">
        <v>447</v>
      </c>
      <c r="B52" s="75"/>
      <c r="C52" s="15"/>
      <c r="D52" s="15"/>
      <c r="E52" s="15"/>
      <c r="F52" s="15"/>
      <c r="G52" s="15"/>
      <c r="H52" s="15"/>
      <c r="I52" s="20"/>
      <c r="J52" s="75" t="s">
        <v>407</v>
      </c>
      <c r="K52" s="88">
        <f>SUM(K51)*0.05</f>
        <v>31.367133999999993</v>
      </c>
      <c r="L52" s="75"/>
    </row>
    <row r="53" spans="1:12" ht="24.95" customHeight="1" x14ac:dyDescent="0.3">
      <c r="A53" s="75" t="s">
        <v>425</v>
      </c>
      <c r="B53" s="75"/>
      <c r="C53" s="15"/>
      <c r="D53" s="15"/>
      <c r="E53" s="15"/>
      <c r="F53" s="15"/>
      <c r="G53" s="15"/>
      <c r="H53" s="15"/>
      <c r="I53" s="20"/>
      <c r="J53" s="75" t="s">
        <v>407</v>
      </c>
      <c r="K53" s="88">
        <f>SUM(K51:K52)</f>
        <v>658.70981399999982</v>
      </c>
      <c r="L53" s="75"/>
    </row>
    <row r="54" spans="1:12" ht="24.95" customHeight="1" x14ac:dyDescent="0.3">
      <c r="A54" s="15"/>
      <c r="B54" s="75"/>
      <c r="C54" s="15"/>
      <c r="D54" s="15"/>
      <c r="E54" s="15"/>
      <c r="F54" s="15"/>
      <c r="G54" s="15"/>
      <c r="H54" s="15"/>
      <c r="I54" s="20"/>
      <c r="J54" s="75"/>
      <c r="K54" s="88"/>
      <c r="L54" s="75"/>
    </row>
    <row r="55" spans="1:12" ht="24.95" customHeight="1" x14ac:dyDescent="0.3">
      <c r="A55" s="15" t="s">
        <v>498</v>
      </c>
      <c r="B55" s="75"/>
      <c r="C55" s="15"/>
      <c r="D55" s="15"/>
      <c r="E55" s="15"/>
      <c r="F55" s="15"/>
      <c r="G55" s="15"/>
      <c r="H55" s="15"/>
      <c r="I55" s="20"/>
      <c r="J55" s="75"/>
      <c r="K55" s="88"/>
      <c r="L55" s="75"/>
    </row>
    <row r="56" spans="1:12" ht="24.95" customHeight="1" x14ac:dyDescent="0.3">
      <c r="A56" s="15" t="s">
        <v>100</v>
      </c>
      <c r="B56" s="15" t="s">
        <v>565</v>
      </c>
      <c r="C56" s="15"/>
      <c r="D56" s="15"/>
      <c r="E56" s="15"/>
      <c r="F56" s="15">
        <v>1</v>
      </c>
      <c r="G56" s="15"/>
      <c r="H56" s="15"/>
      <c r="I56" s="15">
        <f t="shared" ref="I56:I65" si="3">F56</f>
        <v>1</v>
      </c>
      <c r="J56" s="14" t="s">
        <v>50</v>
      </c>
      <c r="K56" s="15"/>
      <c r="L56" s="75" t="s">
        <v>638</v>
      </c>
    </row>
    <row r="57" spans="1:12" ht="24.95" customHeight="1" x14ac:dyDescent="0.3">
      <c r="A57" s="15" t="s">
        <v>465</v>
      </c>
      <c r="B57" s="15" t="s">
        <v>566</v>
      </c>
      <c r="C57" s="15"/>
      <c r="D57" s="15"/>
      <c r="E57" s="15"/>
      <c r="F57" s="15">
        <v>1</v>
      </c>
      <c r="G57" s="15"/>
      <c r="H57" s="15"/>
      <c r="I57" s="15">
        <f t="shared" si="3"/>
        <v>1</v>
      </c>
      <c r="J57" s="75" t="s">
        <v>451</v>
      </c>
      <c r="K57" s="15"/>
      <c r="L57" s="75" t="s">
        <v>639</v>
      </c>
    </row>
    <row r="58" spans="1:12" ht="24.95" customHeight="1" x14ac:dyDescent="0.3">
      <c r="A58" s="15" t="s">
        <v>374</v>
      </c>
      <c r="B58" s="15" t="s">
        <v>567</v>
      </c>
      <c r="C58" s="15"/>
      <c r="D58" s="15"/>
      <c r="E58" s="15"/>
      <c r="F58" s="15">
        <v>2</v>
      </c>
      <c r="G58" s="15"/>
      <c r="H58" s="15"/>
      <c r="I58" s="15">
        <f t="shared" si="3"/>
        <v>2</v>
      </c>
      <c r="J58" s="75" t="s">
        <v>451</v>
      </c>
      <c r="K58" s="15"/>
      <c r="L58" s="75" t="s">
        <v>640</v>
      </c>
    </row>
    <row r="59" spans="1:12" ht="24.95" customHeight="1" x14ac:dyDescent="0.3">
      <c r="A59" s="15" t="s">
        <v>450</v>
      </c>
      <c r="B59" s="15" t="s">
        <v>454</v>
      </c>
      <c r="C59" s="15"/>
      <c r="D59" s="15"/>
      <c r="E59" s="15"/>
      <c r="F59" s="16">
        <v>63585</v>
      </c>
      <c r="G59" s="15"/>
      <c r="H59" s="15"/>
      <c r="I59" s="16">
        <f t="shared" si="3"/>
        <v>63585</v>
      </c>
      <c r="J59" s="75" t="s">
        <v>452</v>
      </c>
      <c r="K59" s="15"/>
      <c r="L59" s="75" t="s">
        <v>641</v>
      </c>
    </row>
    <row r="60" spans="1:12" ht="24.95" customHeight="1" x14ac:dyDescent="0.3">
      <c r="A60" s="15" t="s">
        <v>453</v>
      </c>
      <c r="B60" s="15" t="s">
        <v>455</v>
      </c>
      <c r="C60" s="15"/>
      <c r="D60" s="15"/>
      <c r="E60" s="15"/>
      <c r="F60" s="15">
        <v>24</v>
      </c>
      <c r="G60" s="15"/>
      <c r="H60" s="15"/>
      <c r="I60" s="16">
        <f t="shared" si="3"/>
        <v>24</v>
      </c>
      <c r="J60" s="75" t="s">
        <v>452</v>
      </c>
      <c r="K60" s="15"/>
      <c r="L60" s="75" t="s">
        <v>684</v>
      </c>
    </row>
    <row r="61" spans="1:12" ht="24.95" customHeight="1" x14ac:dyDescent="0.3">
      <c r="A61" s="15" t="s">
        <v>456</v>
      </c>
      <c r="B61" s="15" t="s">
        <v>568</v>
      </c>
      <c r="C61" s="15"/>
      <c r="D61" s="15"/>
      <c r="E61" s="15"/>
      <c r="F61" s="15">
        <v>1</v>
      </c>
      <c r="G61" s="15"/>
      <c r="H61" s="15"/>
      <c r="I61" s="16">
        <f t="shared" si="3"/>
        <v>1</v>
      </c>
      <c r="J61" s="75" t="s">
        <v>452</v>
      </c>
      <c r="K61" s="15"/>
      <c r="L61" s="75" t="s">
        <v>642</v>
      </c>
    </row>
    <row r="62" spans="1:12" ht="24.95" customHeight="1" x14ac:dyDescent="0.3">
      <c r="A62" s="15" t="s">
        <v>457</v>
      </c>
      <c r="B62" s="15" t="s">
        <v>458</v>
      </c>
      <c r="C62" s="15"/>
      <c r="D62" s="15"/>
      <c r="E62" s="15"/>
      <c r="F62" s="15">
        <v>3</v>
      </c>
      <c r="G62" s="15"/>
      <c r="H62" s="15"/>
      <c r="I62" s="16">
        <f t="shared" si="3"/>
        <v>3</v>
      </c>
      <c r="J62" s="75" t="s">
        <v>452</v>
      </c>
      <c r="K62" s="15"/>
      <c r="L62" s="75" t="s">
        <v>643</v>
      </c>
    </row>
    <row r="63" spans="1:12" ht="24.95" customHeight="1" x14ac:dyDescent="0.3">
      <c r="A63" s="15" t="s">
        <v>459</v>
      </c>
      <c r="B63" s="95" t="s">
        <v>463</v>
      </c>
      <c r="C63" s="15"/>
      <c r="D63" s="15"/>
      <c r="E63" s="15"/>
      <c r="F63" s="15">
        <v>1</v>
      </c>
      <c r="G63" s="15"/>
      <c r="H63" s="15"/>
      <c r="I63" s="16">
        <f t="shared" si="3"/>
        <v>1</v>
      </c>
      <c r="J63" s="75" t="s">
        <v>452</v>
      </c>
      <c r="K63" s="15"/>
      <c r="L63" s="75" t="s">
        <v>644</v>
      </c>
    </row>
    <row r="64" spans="1:12" ht="24.95" customHeight="1" x14ac:dyDescent="0.3">
      <c r="A64" s="15" t="s">
        <v>460</v>
      </c>
      <c r="B64" s="15" t="s">
        <v>549</v>
      </c>
      <c r="C64" s="15"/>
      <c r="D64" s="15"/>
      <c r="E64" s="15"/>
      <c r="F64" s="15">
        <v>1</v>
      </c>
      <c r="G64" s="15"/>
      <c r="H64" s="15"/>
      <c r="I64" s="16">
        <f t="shared" si="3"/>
        <v>1</v>
      </c>
      <c r="J64" s="75" t="s">
        <v>452</v>
      </c>
      <c r="K64" s="15"/>
      <c r="L64" s="75" t="s">
        <v>645</v>
      </c>
    </row>
    <row r="65" spans="1:12" ht="24.95" customHeight="1" x14ac:dyDescent="0.3">
      <c r="A65" s="15" t="s">
        <v>461</v>
      </c>
      <c r="B65" s="15" t="s">
        <v>462</v>
      </c>
      <c r="C65" s="15"/>
      <c r="D65" s="15"/>
      <c r="E65" s="15"/>
      <c r="F65" s="15">
        <v>1</v>
      </c>
      <c r="G65" s="15"/>
      <c r="H65" s="15"/>
      <c r="I65" s="16">
        <f t="shared" si="3"/>
        <v>1</v>
      </c>
      <c r="J65" s="75" t="s">
        <v>452</v>
      </c>
      <c r="K65" s="15"/>
      <c r="L65" s="75" t="s">
        <v>646</v>
      </c>
    </row>
    <row r="66" spans="1:12" ht="24.95" customHeight="1" x14ac:dyDescent="0.3">
      <c r="A66" s="15"/>
      <c r="B66" s="15"/>
      <c r="C66" s="15"/>
      <c r="D66" s="15"/>
      <c r="E66" s="15"/>
      <c r="F66" s="15"/>
      <c r="G66" s="15"/>
      <c r="H66" s="15"/>
      <c r="I66" s="15"/>
      <c r="J66" s="75"/>
      <c r="K66" s="15"/>
      <c r="L66" s="75"/>
    </row>
    <row r="67" spans="1:12" ht="24.95" customHeight="1" x14ac:dyDescent="0.3">
      <c r="A67" s="15" t="s">
        <v>499</v>
      </c>
      <c r="B67" s="15"/>
      <c r="C67" s="15"/>
      <c r="D67" s="15"/>
      <c r="E67" s="15"/>
      <c r="F67" s="15"/>
      <c r="G67" s="15"/>
      <c r="H67" s="15"/>
      <c r="I67" s="15"/>
      <c r="J67" s="75"/>
      <c r="K67" s="15"/>
      <c r="L67" s="75"/>
    </row>
    <row r="68" spans="1:12" ht="24.95" customHeight="1" x14ac:dyDescent="0.3">
      <c r="A68" s="98" t="s">
        <v>474</v>
      </c>
      <c r="B68" s="98" t="s">
        <v>537</v>
      </c>
      <c r="C68" s="98"/>
      <c r="D68" s="98"/>
      <c r="E68" s="98"/>
      <c r="F68" s="98">
        <v>0.67600000000000005</v>
      </c>
      <c r="G68" s="98">
        <v>55</v>
      </c>
      <c r="H68" s="98" t="s">
        <v>473</v>
      </c>
      <c r="I68" s="98">
        <f>F68*G68</f>
        <v>37.18</v>
      </c>
      <c r="J68" s="85" t="s">
        <v>31</v>
      </c>
      <c r="K68" s="98"/>
      <c r="L68" s="99"/>
    </row>
    <row r="69" spans="1:12" ht="24.95" customHeight="1" x14ac:dyDescent="0.3">
      <c r="A69" s="98" t="s">
        <v>475</v>
      </c>
      <c r="B69" s="98" t="s">
        <v>537</v>
      </c>
      <c r="C69" s="98"/>
      <c r="D69" s="98"/>
      <c r="E69" s="98"/>
      <c r="F69" s="98">
        <v>0.67600000000000005</v>
      </c>
      <c r="G69" s="98">
        <v>55</v>
      </c>
      <c r="H69" s="98" t="s">
        <v>473</v>
      </c>
      <c r="I69" s="98">
        <f>F69*G69</f>
        <v>37.18</v>
      </c>
      <c r="J69" s="85" t="s">
        <v>31</v>
      </c>
      <c r="K69" s="98"/>
      <c r="L69" s="99"/>
    </row>
    <row r="70" spans="1:12" ht="24.95" customHeight="1" x14ac:dyDescent="0.3">
      <c r="A70" s="98"/>
      <c r="B70" s="98"/>
      <c r="C70" s="98"/>
      <c r="D70" s="98"/>
      <c r="E70" s="98"/>
      <c r="F70" s="98"/>
      <c r="G70" s="98"/>
      <c r="H70" s="98"/>
      <c r="I70" s="98"/>
      <c r="J70" s="99"/>
      <c r="K70" s="98"/>
      <c r="L70" s="99"/>
    </row>
    <row r="71" spans="1:12" ht="24.95" customHeight="1" x14ac:dyDescent="0.3">
      <c r="A71" s="98" t="s">
        <v>500</v>
      </c>
      <c r="B71" s="98"/>
      <c r="C71" s="98"/>
      <c r="D71" s="98"/>
      <c r="E71" s="98"/>
      <c r="F71" s="98"/>
      <c r="G71" s="98"/>
      <c r="H71" s="98"/>
      <c r="I71" s="98"/>
      <c r="J71" s="99"/>
      <c r="K71" s="98"/>
      <c r="L71" s="99"/>
    </row>
    <row r="72" spans="1:12" ht="24.95" customHeight="1" x14ac:dyDescent="0.3">
      <c r="A72" s="98" t="s">
        <v>481</v>
      </c>
      <c r="B72" s="98"/>
      <c r="C72" s="98"/>
      <c r="D72" s="98"/>
      <c r="E72" s="98"/>
      <c r="F72" s="98"/>
      <c r="G72" s="98"/>
      <c r="H72" s="98"/>
      <c r="I72" s="98">
        <v>1</v>
      </c>
      <c r="J72" s="99" t="s">
        <v>485</v>
      </c>
      <c r="K72" s="98"/>
      <c r="L72" s="99"/>
    </row>
    <row r="73" spans="1:12" ht="24.95" customHeight="1" x14ac:dyDescent="0.3">
      <c r="A73" s="98" t="s">
        <v>482</v>
      </c>
      <c r="B73" s="98"/>
      <c r="C73" s="98"/>
      <c r="D73" s="98"/>
      <c r="E73" s="98"/>
      <c r="F73" s="98"/>
      <c r="G73" s="98"/>
      <c r="H73" s="98"/>
      <c r="I73" s="98">
        <v>1</v>
      </c>
      <c r="J73" s="99" t="s">
        <v>485</v>
      </c>
      <c r="K73" s="98"/>
      <c r="L73" s="99"/>
    </row>
    <row r="74" spans="1:12" ht="24.95" customHeight="1" x14ac:dyDescent="0.3">
      <c r="A74" s="98" t="s">
        <v>488</v>
      </c>
      <c r="B74" s="98"/>
      <c r="C74" s="98"/>
      <c r="D74" s="98"/>
      <c r="E74" s="98"/>
      <c r="F74" s="98"/>
      <c r="G74" s="98"/>
      <c r="H74" s="98"/>
      <c r="I74" s="98">
        <v>1</v>
      </c>
      <c r="J74" s="99" t="s">
        <v>485</v>
      </c>
      <c r="K74" s="98"/>
      <c r="L74" s="99"/>
    </row>
    <row r="75" spans="1:12" ht="24.95" customHeight="1" x14ac:dyDescent="0.3">
      <c r="A75" s="98" t="s">
        <v>489</v>
      </c>
      <c r="B75" s="98"/>
      <c r="C75" s="98"/>
      <c r="D75" s="98"/>
      <c r="E75" s="98"/>
      <c r="F75" s="98"/>
      <c r="G75" s="98"/>
      <c r="H75" s="98"/>
      <c r="I75" s="98">
        <v>1</v>
      </c>
      <c r="J75" s="99" t="s">
        <v>485</v>
      </c>
      <c r="K75" s="98"/>
      <c r="L75" s="99"/>
    </row>
    <row r="76" spans="1:12" ht="24.95" customHeight="1" x14ac:dyDescent="0.3">
      <c r="A76" s="98" t="s">
        <v>483</v>
      </c>
      <c r="B76" s="98"/>
      <c r="C76" s="98"/>
      <c r="D76" s="98"/>
      <c r="E76" s="98"/>
      <c r="F76" s="98"/>
      <c r="G76" s="98"/>
      <c r="H76" s="98"/>
      <c r="I76" s="98">
        <v>1</v>
      </c>
      <c r="J76" s="99" t="s">
        <v>485</v>
      </c>
      <c r="K76" s="98"/>
      <c r="L76" s="99"/>
    </row>
    <row r="77" spans="1:12" ht="24.95" customHeight="1" x14ac:dyDescent="0.3">
      <c r="A77" s="98" t="s">
        <v>484</v>
      </c>
      <c r="B77" s="98"/>
      <c r="C77" s="98"/>
      <c r="D77" s="98"/>
      <c r="E77" s="98"/>
      <c r="F77" s="98"/>
      <c r="G77" s="98"/>
      <c r="H77" s="98"/>
      <c r="I77" s="98">
        <v>1</v>
      </c>
      <c r="J77" s="99" t="s">
        <v>485</v>
      </c>
      <c r="K77" s="98"/>
      <c r="L77" s="99"/>
    </row>
    <row r="78" spans="1:12" ht="24.95" customHeight="1" x14ac:dyDescent="0.3">
      <c r="A78" s="98"/>
      <c r="B78" s="98"/>
      <c r="C78" s="98"/>
      <c r="D78" s="98"/>
      <c r="E78" s="98"/>
      <c r="F78" s="98"/>
      <c r="G78" s="98"/>
      <c r="H78" s="98"/>
      <c r="I78" s="98"/>
      <c r="J78" s="99"/>
      <c r="K78" s="98"/>
      <c r="L78" s="99"/>
    </row>
    <row r="79" spans="1:12" ht="24.95" customHeight="1" x14ac:dyDescent="0.3">
      <c r="A79" s="98" t="s">
        <v>496</v>
      </c>
      <c r="B79" s="98"/>
      <c r="C79" s="98"/>
      <c r="D79" s="98"/>
      <c r="E79" s="98"/>
      <c r="F79" s="98"/>
      <c r="G79" s="98"/>
      <c r="H79" s="98"/>
      <c r="I79" s="98"/>
      <c r="J79" s="99"/>
      <c r="K79" s="98"/>
      <c r="L79" s="99"/>
    </row>
    <row r="80" spans="1:12" ht="24.95" customHeight="1" x14ac:dyDescent="0.3">
      <c r="A80" s="15" t="s">
        <v>716</v>
      </c>
      <c r="B80" s="15" t="s">
        <v>574</v>
      </c>
      <c r="C80" s="15"/>
      <c r="D80" s="15"/>
      <c r="E80" s="15"/>
      <c r="F80" s="15"/>
      <c r="G80" s="15"/>
      <c r="H80" s="15"/>
      <c r="I80" s="15">
        <v>1</v>
      </c>
      <c r="J80" s="14" t="s">
        <v>267</v>
      </c>
      <c r="K80" s="15"/>
      <c r="L80" s="99" t="s">
        <v>582</v>
      </c>
    </row>
    <row r="81" spans="1:12" ht="24.95" customHeight="1" x14ac:dyDescent="0.3">
      <c r="A81" s="98" t="s">
        <v>517</v>
      </c>
      <c r="B81" s="98" t="s">
        <v>518</v>
      </c>
      <c r="C81" s="98"/>
      <c r="D81" s="98"/>
      <c r="E81" s="98"/>
      <c r="F81" s="98"/>
      <c r="G81" s="98"/>
      <c r="H81" s="98"/>
      <c r="I81" s="15">
        <v>1</v>
      </c>
      <c r="J81" s="106" t="s">
        <v>267</v>
      </c>
      <c r="K81" s="98"/>
      <c r="L81" s="99" t="s">
        <v>582</v>
      </c>
    </row>
    <row r="82" spans="1:12" ht="24.95" customHeight="1" x14ac:dyDescent="0.3">
      <c r="A82" s="15" t="s">
        <v>703</v>
      </c>
      <c r="B82" s="191" t="s">
        <v>721</v>
      </c>
      <c r="C82" s="15"/>
      <c r="D82" s="15"/>
      <c r="E82" s="15"/>
      <c r="F82" s="15"/>
      <c r="G82" s="15"/>
      <c r="H82" s="15"/>
      <c r="I82" s="15">
        <v>1</v>
      </c>
      <c r="J82" s="14" t="s">
        <v>277</v>
      </c>
      <c r="K82" s="15"/>
      <c r="L82" s="99" t="s">
        <v>583</v>
      </c>
    </row>
    <row r="83" spans="1:12" ht="24.95" customHeight="1" x14ac:dyDescent="0.3">
      <c r="A83" s="15" t="s">
        <v>703</v>
      </c>
      <c r="B83" s="191" t="s">
        <v>722</v>
      </c>
      <c r="C83" s="15"/>
      <c r="D83" s="15"/>
      <c r="E83" s="15"/>
      <c r="F83" s="15"/>
      <c r="G83" s="15"/>
      <c r="H83" s="15"/>
      <c r="I83" s="15">
        <v>2</v>
      </c>
      <c r="J83" s="106" t="s">
        <v>277</v>
      </c>
      <c r="K83" s="15"/>
      <c r="L83" s="99" t="s">
        <v>583</v>
      </c>
    </row>
    <row r="84" spans="1:12" ht="24.95" customHeight="1" x14ac:dyDescent="0.3">
      <c r="A84" s="15" t="s">
        <v>703</v>
      </c>
      <c r="B84" s="191" t="s">
        <v>723</v>
      </c>
      <c r="C84" s="15"/>
      <c r="D84" s="15"/>
      <c r="E84" s="15"/>
      <c r="F84" s="15"/>
      <c r="G84" s="15"/>
      <c r="H84" s="15"/>
      <c r="I84" s="15">
        <v>1</v>
      </c>
      <c r="J84" s="106" t="s">
        <v>277</v>
      </c>
      <c r="K84" s="15"/>
      <c r="L84" s="99" t="s">
        <v>583</v>
      </c>
    </row>
    <row r="85" spans="1:12" ht="24.95" customHeight="1" x14ac:dyDescent="0.3">
      <c r="A85" s="15" t="s">
        <v>704</v>
      </c>
      <c r="B85" s="15" t="s">
        <v>569</v>
      </c>
      <c r="C85" s="15"/>
      <c r="D85" s="15"/>
      <c r="E85" s="15"/>
      <c r="F85" s="15"/>
      <c r="G85" s="15"/>
      <c r="H85" s="15"/>
      <c r="I85" s="15">
        <v>2</v>
      </c>
      <c r="J85" s="106" t="s">
        <v>277</v>
      </c>
      <c r="K85" s="15"/>
      <c r="L85" s="99" t="s">
        <v>583</v>
      </c>
    </row>
    <row r="86" spans="1:12" ht="24.95" customHeight="1" x14ac:dyDescent="0.3">
      <c r="A86" s="15" t="s">
        <v>704</v>
      </c>
      <c r="B86" s="15" t="s">
        <v>544</v>
      </c>
      <c r="C86" s="15"/>
      <c r="D86" s="15"/>
      <c r="E86" s="15"/>
      <c r="F86" s="15"/>
      <c r="G86" s="15"/>
      <c r="H86" s="15"/>
      <c r="I86" s="15">
        <v>1</v>
      </c>
      <c r="J86" s="14" t="s">
        <v>277</v>
      </c>
      <c r="K86" s="15"/>
      <c r="L86" s="99" t="s">
        <v>583</v>
      </c>
    </row>
    <row r="87" spans="1:12" ht="24.95" customHeight="1" x14ac:dyDescent="0.3">
      <c r="A87" s="15" t="s">
        <v>704</v>
      </c>
      <c r="B87" s="15" t="s">
        <v>570</v>
      </c>
      <c r="C87" s="15"/>
      <c r="D87" s="15"/>
      <c r="E87" s="15"/>
      <c r="F87" s="15"/>
      <c r="G87" s="15"/>
      <c r="H87" s="15"/>
      <c r="I87" s="15">
        <v>2</v>
      </c>
      <c r="J87" s="106" t="s">
        <v>277</v>
      </c>
      <c r="K87" s="15"/>
      <c r="L87" s="99" t="s">
        <v>583</v>
      </c>
    </row>
    <row r="88" spans="1:12" ht="24.95" customHeight="1" x14ac:dyDescent="0.3">
      <c r="A88" s="15" t="s">
        <v>704</v>
      </c>
      <c r="B88" s="15" t="s">
        <v>510</v>
      </c>
      <c r="C88" s="15"/>
      <c r="D88" s="15"/>
      <c r="E88" s="15"/>
      <c r="F88" s="15"/>
      <c r="G88" s="15"/>
      <c r="H88" s="15"/>
      <c r="I88" s="15">
        <v>2</v>
      </c>
      <c r="J88" s="106" t="s">
        <v>277</v>
      </c>
      <c r="K88" s="15"/>
      <c r="L88" s="99" t="s">
        <v>583</v>
      </c>
    </row>
    <row r="89" spans="1:12" ht="24.95" customHeight="1" x14ac:dyDescent="0.3">
      <c r="A89" s="98" t="s">
        <v>522</v>
      </c>
      <c r="B89" s="98" t="s">
        <v>523</v>
      </c>
      <c r="C89" s="98"/>
      <c r="D89" s="98"/>
      <c r="E89" s="98"/>
      <c r="F89" s="98"/>
      <c r="G89" s="98"/>
      <c r="H89" s="98"/>
      <c r="I89" s="98">
        <v>1</v>
      </c>
      <c r="J89" s="99" t="s">
        <v>511</v>
      </c>
      <c r="K89" s="98"/>
      <c r="L89" s="99" t="s">
        <v>583</v>
      </c>
    </row>
    <row r="90" spans="1:12" ht="24.95" customHeight="1" x14ac:dyDescent="0.3">
      <c r="A90" s="15" t="s">
        <v>45</v>
      </c>
      <c r="B90" s="15" t="s">
        <v>571</v>
      </c>
      <c r="C90" s="15"/>
      <c r="D90" s="15"/>
      <c r="E90" s="15"/>
      <c r="F90" s="15"/>
      <c r="G90" s="15"/>
      <c r="H90" s="15"/>
      <c r="I90" s="15">
        <v>5</v>
      </c>
      <c r="J90" s="14" t="s">
        <v>264</v>
      </c>
      <c r="K90" s="15"/>
      <c r="L90" s="99" t="s">
        <v>609</v>
      </c>
    </row>
    <row r="91" spans="1:12" ht="24.95" customHeight="1" x14ac:dyDescent="0.3">
      <c r="A91" s="98" t="s">
        <v>527</v>
      </c>
      <c r="B91" s="98" t="s">
        <v>573</v>
      </c>
      <c r="C91" s="98"/>
      <c r="D91" s="98"/>
      <c r="E91" s="98"/>
      <c r="F91" s="98"/>
      <c r="G91" s="98"/>
      <c r="H91" s="98"/>
      <c r="I91" s="15">
        <v>5</v>
      </c>
      <c r="J91" s="106" t="s">
        <v>264</v>
      </c>
      <c r="K91" s="98"/>
      <c r="L91" s="99" t="s">
        <v>610</v>
      </c>
    </row>
    <row r="92" spans="1:12" ht="24.95" customHeight="1" x14ac:dyDescent="0.3">
      <c r="A92" s="15" t="s">
        <v>46</v>
      </c>
      <c r="B92" s="15" t="s">
        <v>572</v>
      </c>
      <c r="C92" s="15"/>
      <c r="D92" s="15"/>
      <c r="E92" s="15"/>
      <c r="F92" s="15"/>
      <c r="G92" s="15"/>
      <c r="H92" s="15"/>
      <c r="I92" s="15">
        <v>5</v>
      </c>
      <c r="J92" s="106" t="s">
        <v>264</v>
      </c>
      <c r="K92" s="15"/>
      <c r="L92" s="99" t="s">
        <v>611</v>
      </c>
    </row>
    <row r="93" spans="1:12" ht="24.95" customHeight="1" x14ac:dyDescent="0.3">
      <c r="A93" s="15" t="s">
        <v>46</v>
      </c>
      <c r="B93" s="15" t="s">
        <v>512</v>
      </c>
      <c r="C93" s="15"/>
      <c r="D93" s="15"/>
      <c r="E93" s="15"/>
      <c r="F93" s="15"/>
      <c r="G93" s="15"/>
      <c r="H93" s="15"/>
      <c r="I93" s="15">
        <v>10</v>
      </c>
      <c r="J93" s="106" t="s">
        <v>264</v>
      </c>
      <c r="K93" s="15"/>
      <c r="L93" s="99" t="s">
        <v>612</v>
      </c>
    </row>
    <row r="94" spans="1:12" ht="24.95" customHeight="1" x14ac:dyDescent="0.3">
      <c r="A94" s="15" t="s">
        <v>46</v>
      </c>
      <c r="B94" s="15" t="s">
        <v>513</v>
      </c>
      <c r="C94" s="15"/>
      <c r="D94" s="15"/>
      <c r="E94" s="15"/>
      <c r="F94" s="15"/>
      <c r="G94" s="15"/>
      <c r="H94" s="15"/>
      <c r="I94" s="15">
        <v>10</v>
      </c>
      <c r="J94" s="14" t="s">
        <v>264</v>
      </c>
      <c r="K94" s="15"/>
      <c r="L94" s="99" t="s">
        <v>613</v>
      </c>
    </row>
  </sheetData>
  <mergeCells count="7">
    <mergeCell ref="A1:L1"/>
    <mergeCell ref="C3:H3"/>
    <mergeCell ref="A3:A4"/>
    <mergeCell ref="B3:B4"/>
    <mergeCell ref="I3:K3"/>
    <mergeCell ref="L3:L4"/>
    <mergeCell ref="G4:H4"/>
  </mergeCells>
  <phoneticPr fontId="1" type="noConversion"/>
  <pageMargins left="0.51181102362204722" right="0.51181102362204722" top="0.55118110236220474" bottom="0.55118110236220474" header="0.31496062992125984" footer="0.31496062992125984"/>
  <pageSetup paperSize="9" scale="89" fitToHeight="0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workbookViewId="0">
      <pane ySplit="4" topLeftCell="A44" activePane="bottomLeft" state="frozen"/>
      <selection activeCell="F11" sqref="F11"/>
      <selection pane="bottomLeft" activeCell="A2" sqref="A2"/>
    </sheetView>
  </sheetViews>
  <sheetFormatPr defaultRowHeight="12" x14ac:dyDescent="0.3"/>
  <cols>
    <col min="1" max="1" width="18.375" style="17" customWidth="1"/>
    <col min="2" max="2" width="18.875" style="17" customWidth="1"/>
    <col min="3" max="3" width="6.5" style="17" customWidth="1"/>
    <col min="4" max="4" width="11.75" style="17" customWidth="1"/>
    <col min="5" max="5" width="7" style="17" bestFit="1" customWidth="1"/>
    <col min="6" max="6" width="12.375" style="17" customWidth="1"/>
    <col min="7" max="7" width="7" style="17" bestFit="1" customWidth="1"/>
    <col min="8" max="8" width="10.875" style="17" customWidth="1"/>
    <col min="9" max="9" width="8.375" style="17" customWidth="1"/>
    <col min="10" max="10" width="13.875" style="17" customWidth="1"/>
    <col min="11" max="11" width="7.875" style="17" customWidth="1"/>
    <col min="12" max="16384" width="9" style="17"/>
  </cols>
  <sheetData>
    <row r="1" spans="1:11" ht="20.25" x14ac:dyDescent="0.3">
      <c r="A1" s="182" t="s">
        <v>301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3.5" x14ac:dyDescent="0.3">
      <c r="A2" s="130" t="str">
        <f>표지!B6</f>
        <v>공사명  :  OOO주식회사 흡수에의한시설 OOOCMM 설치공사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20.100000000000001" customHeight="1" x14ac:dyDescent="0.3">
      <c r="A3" s="187" t="s">
        <v>22</v>
      </c>
      <c r="B3" s="187" t="s">
        <v>11</v>
      </c>
      <c r="C3" s="187" t="s">
        <v>12</v>
      </c>
      <c r="D3" s="187" t="s">
        <v>101</v>
      </c>
      <c r="E3" s="187"/>
      <c r="F3" s="187" t="s">
        <v>102</v>
      </c>
      <c r="G3" s="187"/>
      <c r="H3" s="187" t="s">
        <v>103</v>
      </c>
      <c r="I3" s="187"/>
      <c r="J3" s="187" t="s">
        <v>104</v>
      </c>
      <c r="K3" s="187" t="s">
        <v>18</v>
      </c>
    </row>
    <row r="4" spans="1:11" ht="20.100000000000001" customHeight="1" x14ac:dyDescent="0.3">
      <c r="A4" s="187"/>
      <c r="B4" s="187"/>
      <c r="C4" s="187"/>
      <c r="D4" s="109" t="s">
        <v>19</v>
      </c>
      <c r="E4" s="109" t="s">
        <v>105</v>
      </c>
      <c r="F4" s="109" t="s">
        <v>19</v>
      </c>
      <c r="G4" s="109" t="s">
        <v>105</v>
      </c>
      <c r="H4" s="109" t="s">
        <v>106</v>
      </c>
      <c r="I4" s="109" t="s">
        <v>107</v>
      </c>
      <c r="J4" s="187"/>
      <c r="K4" s="187"/>
    </row>
    <row r="5" spans="1:11" ht="24.95" customHeight="1" x14ac:dyDescent="0.3">
      <c r="A5" s="110" t="s">
        <v>427</v>
      </c>
      <c r="B5" s="111" t="s">
        <v>490</v>
      </c>
      <c r="C5" s="111" t="s">
        <v>31</v>
      </c>
      <c r="D5" s="114">
        <v>84000</v>
      </c>
      <c r="E5" s="128" t="s">
        <v>552</v>
      </c>
      <c r="F5" s="112">
        <v>54600</v>
      </c>
      <c r="G5" s="115">
        <v>832</v>
      </c>
      <c r="H5" s="114">
        <v>60000</v>
      </c>
      <c r="I5" s="112"/>
      <c r="J5" s="112">
        <f t="shared" ref="J5:J37" si="0">MIN(D5,F5,H5,I5)</f>
        <v>54600</v>
      </c>
      <c r="K5" s="111"/>
    </row>
    <row r="6" spans="1:11" ht="24.95" customHeight="1" x14ac:dyDescent="0.3">
      <c r="A6" s="110" t="s">
        <v>427</v>
      </c>
      <c r="B6" s="111" t="s">
        <v>429</v>
      </c>
      <c r="C6" s="111" t="s">
        <v>31</v>
      </c>
      <c r="D6" s="114">
        <v>50400</v>
      </c>
      <c r="E6" s="128" t="s">
        <v>552</v>
      </c>
      <c r="F6" s="112">
        <v>32750</v>
      </c>
      <c r="G6" s="115">
        <v>832</v>
      </c>
      <c r="H6" s="114">
        <v>40000</v>
      </c>
      <c r="I6" s="112"/>
      <c r="J6" s="112">
        <f t="shared" si="0"/>
        <v>32750</v>
      </c>
      <c r="K6" s="111"/>
    </row>
    <row r="7" spans="1:11" ht="24.95" customHeight="1" x14ac:dyDescent="0.3">
      <c r="A7" s="110" t="s">
        <v>427</v>
      </c>
      <c r="B7" s="111" t="s">
        <v>430</v>
      </c>
      <c r="C7" s="111" t="s">
        <v>31</v>
      </c>
      <c r="D7" s="114">
        <v>42000</v>
      </c>
      <c r="E7" s="128" t="s">
        <v>552</v>
      </c>
      <c r="F7" s="112">
        <v>27300</v>
      </c>
      <c r="G7" s="115">
        <v>832</v>
      </c>
      <c r="H7" s="114">
        <v>30000</v>
      </c>
      <c r="I7" s="112"/>
      <c r="J7" s="112">
        <f t="shared" si="0"/>
        <v>27300</v>
      </c>
      <c r="K7" s="111"/>
    </row>
    <row r="8" spans="1:11" ht="24.95" customHeight="1" x14ac:dyDescent="0.3">
      <c r="A8" s="110" t="str">
        <f>물량산출표!A33</f>
        <v>PVC PIPE</v>
      </c>
      <c r="B8" s="110" t="s">
        <v>440</v>
      </c>
      <c r="C8" s="111" t="s">
        <v>83</v>
      </c>
      <c r="D8" s="114">
        <v>27742</v>
      </c>
      <c r="E8" s="113">
        <v>762</v>
      </c>
      <c r="F8" s="112">
        <v>27552</v>
      </c>
      <c r="G8" s="116">
        <v>557</v>
      </c>
      <c r="H8" s="112"/>
      <c r="I8" s="112"/>
      <c r="J8" s="112">
        <f t="shared" si="0"/>
        <v>27552</v>
      </c>
      <c r="K8" s="111"/>
    </row>
    <row r="9" spans="1:11" ht="24.95" customHeight="1" x14ac:dyDescent="0.3">
      <c r="A9" s="110" t="str">
        <f>물량산출표!A34</f>
        <v>PVC PIPE</v>
      </c>
      <c r="B9" s="110" t="s">
        <v>491</v>
      </c>
      <c r="C9" s="111" t="s">
        <v>83</v>
      </c>
      <c r="D9" s="114">
        <v>3882</v>
      </c>
      <c r="E9" s="113">
        <v>762</v>
      </c>
      <c r="F9" s="112">
        <v>3930</v>
      </c>
      <c r="G9" s="116">
        <v>557</v>
      </c>
      <c r="H9" s="112"/>
      <c r="I9" s="112"/>
      <c r="J9" s="112">
        <f t="shared" si="0"/>
        <v>3882</v>
      </c>
      <c r="K9" s="111"/>
    </row>
    <row r="10" spans="1:11" ht="24.95" customHeight="1" x14ac:dyDescent="0.3">
      <c r="A10" s="110" t="str">
        <f>물량산출표!A35</f>
        <v>PVC PIPE</v>
      </c>
      <c r="B10" s="110" t="s">
        <v>492</v>
      </c>
      <c r="C10" s="111" t="s">
        <v>83</v>
      </c>
      <c r="D10" s="114">
        <v>1455</v>
      </c>
      <c r="E10" s="113">
        <v>762</v>
      </c>
      <c r="F10" s="112">
        <v>1470</v>
      </c>
      <c r="G10" s="116">
        <v>557</v>
      </c>
      <c r="H10" s="112"/>
      <c r="I10" s="112"/>
      <c r="J10" s="112">
        <f t="shared" si="0"/>
        <v>1455</v>
      </c>
      <c r="K10" s="111"/>
    </row>
    <row r="11" spans="1:11" ht="24.95" customHeight="1" x14ac:dyDescent="0.3">
      <c r="A11" s="110" t="str">
        <f>물량산출표!A38</f>
        <v>ㅁ PIPE(100X100)</v>
      </c>
      <c r="B11" s="111"/>
      <c r="C11" s="111" t="s">
        <v>83</v>
      </c>
      <c r="D11" s="114">
        <v>6210</v>
      </c>
      <c r="E11" s="113">
        <v>65</v>
      </c>
      <c r="F11" s="112">
        <v>5488</v>
      </c>
      <c r="G11" s="115">
        <v>73</v>
      </c>
      <c r="H11" s="112"/>
      <c r="I11" s="112"/>
      <c r="J11" s="112">
        <f t="shared" si="0"/>
        <v>5488</v>
      </c>
      <c r="K11" s="111"/>
    </row>
    <row r="12" spans="1:11" ht="24.95" customHeight="1" x14ac:dyDescent="0.3">
      <c r="A12" s="110" t="str">
        <f>물량산출표!A39</f>
        <v>앵글(50 x 50 x6t)</v>
      </c>
      <c r="B12" s="111"/>
      <c r="C12" s="111" t="s">
        <v>23</v>
      </c>
      <c r="D12" s="114">
        <v>760</v>
      </c>
      <c r="E12" s="113">
        <v>46</v>
      </c>
      <c r="F12" s="112">
        <v>840</v>
      </c>
      <c r="G12" s="115">
        <v>55</v>
      </c>
      <c r="H12" s="112"/>
      <c r="I12" s="112"/>
      <c r="J12" s="112">
        <f t="shared" si="0"/>
        <v>760</v>
      </c>
      <c r="K12" s="111"/>
    </row>
    <row r="13" spans="1:11" ht="24.95" customHeight="1" x14ac:dyDescent="0.3">
      <c r="A13" s="110" t="str">
        <f>물량산출표!A40</f>
        <v>앵글(50 x 50 x6t)</v>
      </c>
      <c r="B13" s="111"/>
      <c r="C13" s="111" t="s">
        <v>23</v>
      </c>
      <c r="D13" s="114">
        <v>760</v>
      </c>
      <c r="E13" s="113">
        <v>46</v>
      </c>
      <c r="F13" s="112">
        <v>840</v>
      </c>
      <c r="G13" s="115">
        <v>55</v>
      </c>
      <c r="H13" s="112"/>
      <c r="I13" s="112"/>
      <c r="J13" s="112">
        <f t="shared" si="0"/>
        <v>760</v>
      </c>
      <c r="K13" s="111"/>
    </row>
    <row r="14" spans="1:11" ht="24.95" customHeight="1" x14ac:dyDescent="0.3">
      <c r="A14" s="110" t="str">
        <f>물량산출표!A41</f>
        <v>익스팬션 메탈</v>
      </c>
      <c r="B14" s="111" t="s">
        <v>493</v>
      </c>
      <c r="C14" s="111" t="s">
        <v>25</v>
      </c>
      <c r="D14" s="114">
        <v>31680</v>
      </c>
      <c r="E14" s="113">
        <v>98</v>
      </c>
      <c r="F14" s="112">
        <v>31680</v>
      </c>
      <c r="G14" s="115">
        <v>90</v>
      </c>
      <c r="H14" s="112"/>
      <c r="I14" s="112"/>
      <c r="J14" s="112">
        <f t="shared" si="0"/>
        <v>31680</v>
      </c>
      <c r="K14" s="111"/>
    </row>
    <row r="15" spans="1:11" ht="24.95" customHeight="1" x14ac:dyDescent="0.3">
      <c r="A15" s="110" t="str">
        <f>물량산출표!A43</f>
        <v>익스팬션 메탈</v>
      </c>
      <c r="B15" s="111" t="s">
        <v>493</v>
      </c>
      <c r="C15" s="111" t="s">
        <v>25</v>
      </c>
      <c r="D15" s="114">
        <v>31680</v>
      </c>
      <c r="E15" s="113">
        <v>98</v>
      </c>
      <c r="F15" s="112">
        <v>31680</v>
      </c>
      <c r="G15" s="115">
        <v>90</v>
      </c>
      <c r="H15" s="112"/>
      <c r="I15" s="112"/>
      <c r="J15" s="112">
        <f t="shared" si="0"/>
        <v>31680</v>
      </c>
      <c r="K15" s="111"/>
    </row>
    <row r="16" spans="1:11" ht="24.95" customHeight="1" x14ac:dyDescent="0.3">
      <c r="A16" s="110" t="str">
        <f>물량산출표!A45</f>
        <v>평철(100X6)</v>
      </c>
      <c r="B16" s="111"/>
      <c r="C16" s="111" t="s">
        <v>23</v>
      </c>
      <c r="D16" s="114">
        <v>760</v>
      </c>
      <c r="E16" s="113">
        <v>44</v>
      </c>
      <c r="F16" s="112">
        <v>830</v>
      </c>
      <c r="G16" s="115">
        <v>54</v>
      </c>
      <c r="H16" s="112"/>
      <c r="I16" s="112"/>
      <c r="J16" s="112">
        <f t="shared" si="0"/>
        <v>760</v>
      </c>
      <c r="K16" s="111"/>
    </row>
    <row r="17" spans="1:11" ht="24.95" customHeight="1" x14ac:dyDescent="0.3">
      <c r="A17" s="110" t="str">
        <f>물량산출표!A46</f>
        <v>평철(100X6)</v>
      </c>
      <c r="B17" s="111"/>
      <c r="C17" s="111" t="s">
        <v>23</v>
      </c>
      <c r="D17" s="114">
        <v>760</v>
      </c>
      <c r="E17" s="113">
        <v>44</v>
      </c>
      <c r="F17" s="112">
        <v>830</v>
      </c>
      <c r="G17" s="115">
        <v>54</v>
      </c>
      <c r="H17" s="112"/>
      <c r="I17" s="112"/>
      <c r="J17" s="112">
        <f t="shared" si="0"/>
        <v>760</v>
      </c>
      <c r="K17" s="111"/>
    </row>
    <row r="18" spans="1:11" ht="24.95" customHeight="1" x14ac:dyDescent="0.3">
      <c r="A18" s="110" t="str">
        <f>물량산출표!A47</f>
        <v>평철(38X4.5)</v>
      </c>
      <c r="B18" s="111"/>
      <c r="C18" s="111" t="s">
        <v>23</v>
      </c>
      <c r="D18" s="114">
        <v>760</v>
      </c>
      <c r="E18" s="113">
        <v>44</v>
      </c>
      <c r="F18" s="112">
        <v>830</v>
      </c>
      <c r="G18" s="115">
        <v>54</v>
      </c>
      <c r="H18" s="112"/>
      <c r="I18" s="112"/>
      <c r="J18" s="112">
        <f t="shared" si="0"/>
        <v>760</v>
      </c>
      <c r="K18" s="111"/>
    </row>
    <row r="19" spans="1:11" ht="24.95" customHeight="1" x14ac:dyDescent="0.3">
      <c r="A19" s="110" t="str">
        <f>물량산출표!A48</f>
        <v>PIPE (25A)</v>
      </c>
      <c r="B19" s="111"/>
      <c r="C19" s="111" t="s">
        <v>83</v>
      </c>
      <c r="D19" s="114">
        <v>1570</v>
      </c>
      <c r="E19" s="113">
        <v>64</v>
      </c>
      <c r="F19" s="112">
        <v>1566</v>
      </c>
      <c r="G19" s="115">
        <v>72</v>
      </c>
      <c r="H19" s="112"/>
      <c r="I19" s="112"/>
      <c r="J19" s="112">
        <f t="shared" si="0"/>
        <v>1566</v>
      </c>
      <c r="K19" s="111"/>
    </row>
    <row r="20" spans="1:11" ht="24.95" customHeight="1" x14ac:dyDescent="0.3">
      <c r="A20" s="110" t="str">
        <f>물량산출표!A49</f>
        <v>PIPE (25A)</v>
      </c>
      <c r="B20" s="111"/>
      <c r="C20" s="111" t="s">
        <v>83</v>
      </c>
      <c r="D20" s="114">
        <v>1570</v>
      </c>
      <c r="E20" s="113">
        <v>64</v>
      </c>
      <c r="F20" s="112">
        <v>1566</v>
      </c>
      <c r="G20" s="115">
        <v>72</v>
      </c>
      <c r="H20" s="112"/>
      <c r="I20" s="112"/>
      <c r="J20" s="112">
        <f t="shared" si="0"/>
        <v>1566</v>
      </c>
      <c r="K20" s="111"/>
    </row>
    <row r="21" spans="1:11" ht="24.95" customHeight="1" x14ac:dyDescent="0.3">
      <c r="A21" s="110" t="str">
        <f>물량산출표!A50</f>
        <v>PIPE (25A)</v>
      </c>
      <c r="B21" s="111"/>
      <c r="C21" s="111" t="s">
        <v>494</v>
      </c>
      <c r="D21" s="114">
        <v>1570</v>
      </c>
      <c r="E21" s="113">
        <v>64</v>
      </c>
      <c r="F21" s="112">
        <v>1566</v>
      </c>
      <c r="G21" s="115">
        <v>72</v>
      </c>
      <c r="H21" s="112"/>
      <c r="I21" s="112"/>
      <c r="J21" s="112">
        <f t="shared" si="0"/>
        <v>1566</v>
      </c>
      <c r="K21" s="111"/>
    </row>
    <row r="22" spans="1:11" ht="24.95" customHeight="1" x14ac:dyDescent="0.3">
      <c r="A22" s="110" t="str">
        <f>물량산출표!A56</f>
        <v>송풍기</v>
      </c>
      <c r="B22" s="110" t="str">
        <f>물량산출표!B56</f>
        <v xml:space="preserve">420CMM, 220mmAq, </v>
      </c>
      <c r="C22" s="111" t="s">
        <v>50</v>
      </c>
      <c r="D22" s="114"/>
      <c r="E22" s="113"/>
      <c r="F22" s="112" t="s">
        <v>495</v>
      </c>
      <c r="G22" s="111"/>
      <c r="H22" s="112">
        <v>3800000</v>
      </c>
      <c r="I22" s="112"/>
      <c r="J22" s="112">
        <f t="shared" si="0"/>
        <v>3800000</v>
      </c>
      <c r="K22" s="111"/>
    </row>
    <row r="23" spans="1:11" ht="24.95" customHeight="1" x14ac:dyDescent="0.3">
      <c r="A23" s="110" t="str">
        <f>물량산출표!A57</f>
        <v>모터</v>
      </c>
      <c r="B23" s="110" t="str">
        <f>물량산출표!B57</f>
        <v>30KW</v>
      </c>
      <c r="C23" s="111" t="s">
        <v>50</v>
      </c>
      <c r="D23" s="114">
        <v>4044000</v>
      </c>
      <c r="E23" s="113">
        <v>1340</v>
      </c>
      <c r="F23" s="112" t="s">
        <v>495</v>
      </c>
      <c r="G23" s="111"/>
      <c r="H23" s="112">
        <v>1960000</v>
      </c>
      <c r="I23" s="112"/>
      <c r="J23" s="112">
        <f t="shared" si="0"/>
        <v>1960000</v>
      </c>
      <c r="K23" s="111"/>
    </row>
    <row r="24" spans="1:11" ht="24.95" customHeight="1" x14ac:dyDescent="0.3">
      <c r="A24" s="110" t="str">
        <f>물량산출표!A58</f>
        <v>펌프</v>
      </c>
      <c r="B24" s="110" t="str">
        <f>물량산출표!B58</f>
        <v xml:space="preserve">0.85cmm 15mH 7.5kw </v>
      </c>
      <c r="C24" s="111" t="s">
        <v>50</v>
      </c>
      <c r="D24" s="114">
        <v>1661000</v>
      </c>
      <c r="E24" s="113">
        <v>1343</v>
      </c>
      <c r="F24" s="112">
        <v>2398000</v>
      </c>
      <c r="G24" s="111">
        <v>691</v>
      </c>
      <c r="H24" s="112"/>
      <c r="I24" s="112"/>
      <c r="J24" s="112">
        <f t="shared" si="0"/>
        <v>1661000</v>
      </c>
      <c r="K24" s="111"/>
    </row>
    <row r="25" spans="1:11" ht="24.95" customHeight="1" x14ac:dyDescent="0.3">
      <c r="A25" s="110" t="str">
        <f>물량산출표!A59</f>
        <v>PALL RING</v>
      </c>
      <c r="B25" s="110" t="str">
        <f>물량산출표!B59</f>
        <v>2"</v>
      </c>
      <c r="C25" s="111" t="s">
        <v>277</v>
      </c>
      <c r="D25" s="112"/>
      <c r="E25" s="111"/>
      <c r="F25" s="112">
        <v>43</v>
      </c>
      <c r="G25" s="111">
        <v>999</v>
      </c>
      <c r="H25" s="112">
        <v>50</v>
      </c>
      <c r="I25" s="112"/>
      <c r="J25" s="112">
        <f t="shared" si="0"/>
        <v>43</v>
      </c>
      <c r="K25" s="111"/>
    </row>
    <row r="26" spans="1:11" ht="24.95" customHeight="1" x14ac:dyDescent="0.3">
      <c r="A26" s="110" t="str">
        <f>물량산출표!A60</f>
        <v>NOZZLE</v>
      </c>
      <c r="B26" s="110" t="str">
        <f>물량산출표!B60</f>
        <v>1/2"</v>
      </c>
      <c r="C26" s="111" t="s">
        <v>277</v>
      </c>
      <c r="D26" s="112"/>
      <c r="E26" s="111"/>
      <c r="F26" s="112">
        <v>18000</v>
      </c>
      <c r="G26" s="111">
        <v>421</v>
      </c>
      <c r="H26" s="112">
        <v>6500</v>
      </c>
      <c r="I26" s="112"/>
      <c r="J26" s="112">
        <f t="shared" si="0"/>
        <v>6500</v>
      </c>
      <c r="K26" s="111"/>
    </row>
    <row r="27" spans="1:11" ht="24.95" customHeight="1" x14ac:dyDescent="0.3">
      <c r="A27" s="110" t="str">
        <f>물량산출표!A61</f>
        <v>DEMISTER</v>
      </c>
      <c r="B27" s="110" t="str">
        <f>물량산출표!B61</f>
        <v>3000A X300H</v>
      </c>
      <c r="C27" s="111" t="s">
        <v>277</v>
      </c>
      <c r="D27" s="112"/>
      <c r="E27" s="111"/>
      <c r="F27" s="112">
        <v>450000</v>
      </c>
      <c r="G27" s="111">
        <v>999</v>
      </c>
      <c r="H27" s="112">
        <v>2000000</v>
      </c>
      <c r="I27" s="112"/>
      <c r="J27" s="112">
        <f t="shared" si="0"/>
        <v>450000</v>
      </c>
      <c r="K27" s="111"/>
    </row>
    <row r="28" spans="1:11" ht="24.95" customHeight="1" x14ac:dyDescent="0.3">
      <c r="A28" s="110" t="str">
        <f>물량산출표!A62</f>
        <v>SIGHT GLASS</v>
      </c>
      <c r="B28" s="110" t="str">
        <f>물량산출표!B62</f>
        <v>600A</v>
      </c>
      <c r="C28" s="111" t="s">
        <v>277</v>
      </c>
      <c r="D28" s="112"/>
      <c r="E28" s="111"/>
      <c r="F28" s="112">
        <v>152880</v>
      </c>
      <c r="G28" s="111">
        <v>1014</v>
      </c>
      <c r="H28" s="112">
        <v>200000</v>
      </c>
      <c r="I28" s="112"/>
      <c r="J28" s="112">
        <f t="shared" si="0"/>
        <v>152880</v>
      </c>
      <c r="K28" s="111"/>
    </row>
    <row r="29" spans="1:11" ht="24.95" customHeight="1" x14ac:dyDescent="0.3">
      <c r="A29" s="110" t="str">
        <f>물량산출표!A63</f>
        <v>AGITATOR</v>
      </c>
      <c r="B29" s="110" t="str">
        <f>물량산출표!B63</f>
        <v>1/2HP</v>
      </c>
      <c r="C29" s="111" t="s">
        <v>277</v>
      </c>
      <c r="D29" s="112"/>
      <c r="E29" s="111"/>
      <c r="F29" s="112">
        <v>860000</v>
      </c>
      <c r="G29" s="111">
        <v>986</v>
      </c>
      <c r="H29" s="112">
        <v>950000</v>
      </c>
      <c r="I29" s="112"/>
      <c r="J29" s="112">
        <f t="shared" si="0"/>
        <v>860000</v>
      </c>
      <c r="K29" s="111"/>
    </row>
    <row r="30" spans="1:11" ht="24.95" customHeight="1" x14ac:dyDescent="0.3">
      <c r="A30" s="110" t="str">
        <f>물량산출표!A64</f>
        <v>CHEMICAL TANK</v>
      </c>
      <c r="B30" s="110" t="str">
        <f>물량산출표!B64</f>
        <v>0.6M3</v>
      </c>
      <c r="C30" s="111" t="s">
        <v>277</v>
      </c>
      <c r="D30" s="114">
        <v>400000</v>
      </c>
      <c r="E30" s="113">
        <v>898</v>
      </c>
      <c r="F30" s="112">
        <v>400000</v>
      </c>
      <c r="G30" s="111">
        <v>731</v>
      </c>
      <c r="H30" s="112"/>
      <c r="I30" s="112"/>
      <c r="J30" s="112">
        <f t="shared" si="0"/>
        <v>400000</v>
      </c>
      <c r="K30" s="111"/>
    </row>
    <row r="31" spans="1:11" ht="24.95" customHeight="1" x14ac:dyDescent="0.3">
      <c r="A31" s="110" t="str">
        <f>물량산출표!A65</f>
        <v>FEEDER PUMP</v>
      </c>
      <c r="B31" s="110" t="str">
        <f>물량산출표!B65</f>
        <v>2000CC</v>
      </c>
      <c r="C31" s="111" t="s">
        <v>277</v>
      </c>
      <c r="D31" s="114">
        <v>4500000</v>
      </c>
      <c r="E31" s="113">
        <v>1009</v>
      </c>
      <c r="F31" s="112">
        <v>1520000</v>
      </c>
      <c r="G31" s="111">
        <v>694</v>
      </c>
      <c r="H31" s="112"/>
      <c r="I31" s="112"/>
      <c r="J31" s="112">
        <f t="shared" si="0"/>
        <v>1520000</v>
      </c>
      <c r="K31" s="111"/>
    </row>
    <row r="32" spans="1:11" ht="24.95" customHeight="1" x14ac:dyDescent="0.3">
      <c r="A32" s="154" t="s">
        <v>584</v>
      </c>
      <c r="B32" s="156"/>
      <c r="C32" s="113" t="s">
        <v>277</v>
      </c>
      <c r="D32" s="114"/>
      <c r="E32" s="113"/>
      <c r="F32" s="114"/>
      <c r="G32" s="113"/>
      <c r="H32" s="32">
        <v>1000000</v>
      </c>
      <c r="I32" s="114"/>
      <c r="J32" s="112">
        <f t="shared" si="0"/>
        <v>1000000</v>
      </c>
      <c r="K32" s="113"/>
    </row>
    <row r="33" spans="1:11" ht="24.95" customHeight="1" x14ac:dyDescent="0.3">
      <c r="A33" s="154" t="s">
        <v>36</v>
      </c>
      <c r="B33" s="156"/>
      <c r="C33" s="113" t="s">
        <v>277</v>
      </c>
      <c r="D33" s="114"/>
      <c r="E33" s="113"/>
      <c r="F33" s="114"/>
      <c r="G33" s="113"/>
      <c r="H33" s="32">
        <v>400000</v>
      </c>
      <c r="I33" s="114"/>
      <c r="J33" s="112">
        <f t="shared" si="0"/>
        <v>400000</v>
      </c>
      <c r="K33" s="113"/>
    </row>
    <row r="34" spans="1:11" ht="24.95" customHeight="1" x14ac:dyDescent="0.3">
      <c r="A34" s="154" t="s">
        <v>37</v>
      </c>
      <c r="B34" s="156"/>
      <c r="C34" s="113" t="s">
        <v>277</v>
      </c>
      <c r="D34" s="114"/>
      <c r="E34" s="113"/>
      <c r="F34" s="114"/>
      <c r="G34" s="113"/>
      <c r="H34" s="32">
        <v>300000</v>
      </c>
      <c r="I34" s="114"/>
      <c r="J34" s="112">
        <f t="shared" si="0"/>
        <v>300000</v>
      </c>
      <c r="K34" s="113"/>
    </row>
    <row r="35" spans="1:11" ht="24.95" customHeight="1" x14ac:dyDescent="0.3">
      <c r="A35" s="154" t="s">
        <v>39</v>
      </c>
      <c r="B35" s="156"/>
      <c r="C35" s="113" t="s">
        <v>277</v>
      </c>
      <c r="D35" s="114"/>
      <c r="E35" s="113"/>
      <c r="F35" s="114"/>
      <c r="G35" s="113"/>
      <c r="H35" s="32">
        <v>300000</v>
      </c>
      <c r="I35" s="114"/>
      <c r="J35" s="112">
        <f t="shared" si="0"/>
        <v>300000</v>
      </c>
      <c r="K35" s="113"/>
    </row>
    <row r="36" spans="1:11" ht="24.95" customHeight="1" x14ac:dyDescent="0.3">
      <c r="A36" s="154" t="s">
        <v>40</v>
      </c>
      <c r="B36" s="111"/>
      <c r="C36" s="113" t="s">
        <v>277</v>
      </c>
      <c r="D36" s="112"/>
      <c r="E36" s="111"/>
      <c r="F36" s="112"/>
      <c r="G36" s="111"/>
      <c r="H36" s="32">
        <v>1600000</v>
      </c>
      <c r="I36" s="112"/>
      <c r="J36" s="112">
        <f t="shared" si="0"/>
        <v>1600000</v>
      </c>
      <c r="K36" s="111"/>
    </row>
    <row r="37" spans="1:11" ht="24.95" customHeight="1" x14ac:dyDescent="0.3">
      <c r="A37" s="154" t="s">
        <v>42</v>
      </c>
      <c r="B37" s="111"/>
      <c r="C37" s="113" t="s">
        <v>277</v>
      </c>
      <c r="D37" s="112"/>
      <c r="E37" s="111"/>
      <c r="F37" s="112"/>
      <c r="G37" s="111"/>
      <c r="H37" s="32">
        <v>400000</v>
      </c>
      <c r="I37" s="112"/>
      <c r="J37" s="112">
        <f t="shared" si="0"/>
        <v>400000</v>
      </c>
      <c r="K37" s="111"/>
    </row>
    <row r="38" spans="1:11" ht="24.95" customHeight="1" x14ac:dyDescent="0.3">
      <c r="A38" s="111" t="str">
        <f>물량산출표!A80</f>
        <v>전동기 제어반</v>
      </c>
      <c r="B38" s="111" t="str">
        <f>물량산출표!B80</f>
        <v>옥외2중 방수 700x1000x350</v>
      </c>
      <c r="C38" s="111" t="s">
        <v>515</v>
      </c>
      <c r="D38" s="112"/>
      <c r="E38" s="111"/>
      <c r="F38" s="112">
        <v>472300</v>
      </c>
      <c r="G38" s="115" t="s">
        <v>538</v>
      </c>
      <c r="H38" s="114">
        <v>600000</v>
      </c>
      <c r="I38" s="112"/>
      <c r="J38" s="112">
        <f t="shared" ref="J38:J52" si="1">MIN(D38,F38,H38,I38)</f>
        <v>472300</v>
      </c>
      <c r="K38" s="111"/>
    </row>
    <row r="39" spans="1:11" ht="24.95" customHeight="1" x14ac:dyDescent="0.3">
      <c r="A39" s="113" t="s">
        <v>517</v>
      </c>
      <c r="B39" s="113" t="s">
        <v>518</v>
      </c>
      <c r="C39" s="113" t="s">
        <v>515</v>
      </c>
      <c r="D39" s="114"/>
      <c r="E39" s="113"/>
      <c r="F39" s="114">
        <v>35200</v>
      </c>
      <c r="G39" s="115" t="s">
        <v>538</v>
      </c>
      <c r="H39" s="114">
        <v>50000</v>
      </c>
      <c r="I39" s="114"/>
      <c r="J39" s="112">
        <f t="shared" si="1"/>
        <v>35200</v>
      </c>
      <c r="K39" s="113"/>
    </row>
    <row r="40" spans="1:11" ht="24.95" customHeight="1" x14ac:dyDescent="0.3">
      <c r="A40" s="111" t="str">
        <f>물량산출표!A82</f>
        <v>MCCB</v>
      </c>
      <c r="B40" s="111" t="str">
        <f>물량산출표!B82</f>
        <v>ABS 104C 150A</v>
      </c>
      <c r="C40" s="111" t="s">
        <v>277</v>
      </c>
      <c r="D40" s="114">
        <v>111900</v>
      </c>
      <c r="E40" s="113">
        <v>1163</v>
      </c>
      <c r="F40" s="112">
        <v>111900</v>
      </c>
      <c r="G40" s="115" t="s">
        <v>519</v>
      </c>
      <c r="H40" s="112"/>
      <c r="I40" s="112"/>
      <c r="J40" s="112">
        <f t="shared" si="1"/>
        <v>111900</v>
      </c>
      <c r="K40" s="111"/>
    </row>
    <row r="41" spans="1:11" ht="24.95" customHeight="1" x14ac:dyDescent="0.3">
      <c r="A41" s="111" t="str">
        <f>물량산출표!A83</f>
        <v>MCCB</v>
      </c>
      <c r="B41" s="111" t="str">
        <f>물량산출표!B83</f>
        <v>ABS 63 100A</v>
      </c>
      <c r="C41" s="111" t="s">
        <v>277</v>
      </c>
      <c r="D41" s="114">
        <v>50200</v>
      </c>
      <c r="E41" s="113">
        <v>1163</v>
      </c>
      <c r="F41" s="112">
        <v>50200</v>
      </c>
      <c r="G41" s="115" t="s">
        <v>519</v>
      </c>
      <c r="H41" s="112"/>
      <c r="I41" s="112"/>
      <c r="J41" s="112">
        <f t="shared" si="1"/>
        <v>50200</v>
      </c>
      <c r="K41" s="111"/>
    </row>
    <row r="42" spans="1:11" ht="24.95" customHeight="1" x14ac:dyDescent="0.3">
      <c r="A42" s="111" t="str">
        <f>물량산출표!A84</f>
        <v>MCCB</v>
      </c>
      <c r="B42" s="111" t="str">
        <f>물량산출표!B84</f>
        <v>BKM 2P6A 30A</v>
      </c>
      <c r="C42" s="111" t="s">
        <v>277</v>
      </c>
      <c r="D42" s="114">
        <v>9600</v>
      </c>
      <c r="E42" s="113">
        <v>1164</v>
      </c>
      <c r="F42" s="112">
        <v>9600</v>
      </c>
      <c r="G42" s="115" t="s">
        <v>520</v>
      </c>
      <c r="H42" s="112"/>
      <c r="I42" s="112"/>
      <c r="J42" s="112">
        <f t="shared" si="1"/>
        <v>9600</v>
      </c>
      <c r="K42" s="111"/>
    </row>
    <row r="43" spans="1:11" ht="24.95" customHeight="1" x14ac:dyDescent="0.3">
      <c r="A43" s="111" t="str">
        <f>물량산출표!A85</f>
        <v>MC</v>
      </c>
      <c r="B43" s="111" t="str">
        <f>물량산출표!B85</f>
        <v>MC-65</v>
      </c>
      <c r="C43" s="111" t="s">
        <v>277</v>
      </c>
      <c r="D43" s="114">
        <v>121800</v>
      </c>
      <c r="E43" s="113">
        <v>1172</v>
      </c>
      <c r="F43" s="112">
        <v>72600</v>
      </c>
      <c r="G43" s="115" t="s">
        <v>521</v>
      </c>
      <c r="H43" s="112"/>
      <c r="I43" s="112"/>
      <c r="J43" s="112">
        <f t="shared" si="1"/>
        <v>72600</v>
      </c>
      <c r="K43" s="111"/>
    </row>
    <row r="44" spans="1:11" ht="24.95" customHeight="1" x14ac:dyDescent="0.3">
      <c r="A44" s="111" t="str">
        <f>물량산출표!A86</f>
        <v>MC</v>
      </c>
      <c r="B44" s="111" t="str">
        <f>물량산출표!B86</f>
        <v>MC-50</v>
      </c>
      <c r="C44" s="111" t="s">
        <v>277</v>
      </c>
      <c r="D44" s="114">
        <v>121800</v>
      </c>
      <c r="E44" s="113">
        <v>1172</v>
      </c>
      <c r="F44" s="112">
        <v>53600</v>
      </c>
      <c r="G44" s="115" t="s">
        <v>521</v>
      </c>
      <c r="H44" s="112"/>
      <c r="I44" s="112"/>
      <c r="J44" s="112">
        <f t="shared" si="1"/>
        <v>53600</v>
      </c>
      <c r="K44" s="111"/>
    </row>
    <row r="45" spans="1:11" ht="24.95" customHeight="1" x14ac:dyDescent="0.3">
      <c r="A45" s="111" t="str">
        <f>물량산출표!A87</f>
        <v>MC</v>
      </c>
      <c r="B45" s="111" t="str">
        <f>물량산출표!B87</f>
        <v>MC-40</v>
      </c>
      <c r="C45" s="111" t="s">
        <v>277</v>
      </c>
      <c r="D45" s="114">
        <v>95000</v>
      </c>
      <c r="E45" s="113">
        <v>1172</v>
      </c>
      <c r="F45" s="112">
        <v>44900</v>
      </c>
      <c r="G45" s="115" t="s">
        <v>521</v>
      </c>
      <c r="H45" s="112"/>
      <c r="I45" s="112"/>
      <c r="J45" s="112">
        <f t="shared" si="1"/>
        <v>44900</v>
      </c>
      <c r="K45" s="111"/>
    </row>
    <row r="46" spans="1:11" ht="24.95" customHeight="1" x14ac:dyDescent="0.3">
      <c r="A46" s="111" t="str">
        <f>물량산출표!A88</f>
        <v>MC</v>
      </c>
      <c r="B46" s="111" t="str">
        <f>물량산출표!B88</f>
        <v>MC-9</v>
      </c>
      <c r="C46" s="111" t="s">
        <v>277</v>
      </c>
      <c r="D46" s="114">
        <v>11100</v>
      </c>
      <c r="E46" s="113">
        <v>1172</v>
      </c>
      <c r="F46" s="112">
        <v>11500</v>
      </c>
      <c r="G46" s="115" t="s">
        <v>521</v>
      </c>
      <c r="H46" s="112"/>
      <c r="I46" s="112"/>
      <c r="J46" s="112">
        <f t="shared" si="1"/>
        <v>11100</v>
      </c>
      <c r="K46" s="111"/>
    </row>
    <row r="47" spans="1:11" ht="24.95" customHeight="1" x14ac:dyDescent="0.3">
      <c r="A47" s="111" t="str">
        <f>물량산출표!A89</f>
        <v>동 부스바</v>
      </c>
      <c r="B47" s="111" t="str">
        <f>물량산출표!B89</f>
        <v>KSD</v>
      </c>
      <c r="C47" s="111" t="s">
        <v>277</v>
      </c>
      <c r="D47" s="114">
        <v>10000</v>
      </c>
      <c r="E47" s="113">
        <v>1088</v>
      </c>
      <c r="F47" s="112">
        <v>11365</v>
      </c>
      <c r="G47" s="115" t="s">
        <v>524</v>
      </c>
      <c r="H47" s="112"/>
      <c r="I47" s="112"/>
      <c r="J47" s="112">
        <f t="shared" si="1"/>
        <v>10000</v>
      </c>
      <c r="K47" s="111"/>
    </row>
    <row r="48" spans="1:11" ht="24.95" customHeight="1" x14ac:dyDescent="0.3">
      <c r="A48" s="111" t="str">
        <f>물량산출표!A90</f>
        <v>판넬전선</v>
      </c>
      <c r="B48" s="111" t="str">
        <f>물량산출표!B90</f>
        <v>KIV-35SQ</v>
      </c>
      <c r="C48" s="111" t="s">
        <v>516</v>
      </c>
      <c r="D48" s="114">
        <v>3461</v>
      </c>
      <c r="E48" s="113">
        <v>1083</v>
      </c>
      <c r="F48" s="112">
        <v>4503</v>
      </c>
      <c r="G48" s="115" t="s">
        <v>525</v>
      </c>
      <c r="H48" s="112"/>
      <c r="I48" s="112"/>
      <c r="J48" s="112">
        <f t="shared" si="1"/>
        <v>3461</v>
      </c>
      <c r="K48" s="111"/>
    </row>
    <row r="49" spans="1:11" ht="24.95" customHeight="1" x14ac:dyDescent="0.3">
      <c r="A49" s="111" t="str">
        <f>물량산출표!A91</f>
        <v>플랙시블 전선관</v>
      </c>
      <c r="B49" s="111" t="str">
        <f>물량산출표!B91</f>
        <v>16mm</v>
      </c>
      <c r="C49" s="111" t="s">
        <v>516</v>
      </c>
      <c r="D49" s="114">
        <v>2100</v>
      </c>
      <c r="E49" s="113">
        <v>1109</v>
      </c>
      <c r="F49" s="112">
        <v>2100</v>
      </c>
      <c r="G49" s="115" t="s">
        <v>528</v>
      </c>
      <c r="H49" s="112"/>
      <c r="I49" s="112"/>
      <c r="J49" s="112">
        <f t="shared" si="1"/>
        <v>2100</v>
      </c>
      <c r="K49" s="111"/>
    </row>
    <row r="50" spans="1:11" ht="24.95" customHeight="1" x14ac:dyDescent="0.3">
      <c r="A50" s="111" t="str">
        <f>물량산출표!A92</f>
        <v>전선</v>
      </c>
      <c r="B50" s="111" t="str">
        <f>물량산출표!B92</f>
        <v>CV16SQ*1C</v>
      </c>
      <c r="C50" s="111" t="s">
        <v>516</v>
      </c>
      <c r="D50" s="114">
        <v>1552</v>
      </c>
      <c r="E50" s="113">
        <v>1083</v>
      </c>
      <c r="F50" s="112">
        <v>1975</v>
      </c>
      <c r="G50" s="115" t="s">
        <v>526</v>
      </c>
      <c r="H50" s="112"/>
      <c r="I50" s="112"/>
      <c r="J50" s="112">
        <f t="shared" si="1"/>
        <v>1552</v>
      </c>
      <c r="K50" s="111"/>
    </row>
    <row r="51" spans="1:11" ht="24.95" customHeight="1" x14ac:dyDescent="0.3">
      <c r="A51" s="111" t="str">
        <f>물량산출표!A93</f>
        <v>전선</v>
      </c>
      <c r="B51" s="111" t="str">
        <f>물량산출표!B93</f>
        <v>CV10SQ*4C</v>
      </c>
      <c r="C51" s="111" t="s">
        <v>516</v>
      </c>
      <c r="D51" s="114">
        <v>4473</v>
      </c>
      <c r="E51" s="113">
        <v>1083</v>
      </c>
      <c r="F51" s="112">
        <v>6136</v>
      </c>
      <c r="G51" s="115" t="s">
        <v>526</v>
      </c>
      <c r="H51" s="112"/>
      <c r="I51" s="112"/>
      <c r="J51" s="112">
        <f t="shared" si="1"/>
        <v>4473</v>
      </c>
      <c r="K51" s="111"/>
    </row>
    <row r="52" spans="1:11" ht="24.95" customHeight="1" x14ac:dyDescent="0.3">
      <c r="A52" s="111" t="str">
        <f>물량산출표!A94</f>
        <v>전선</v>
      </c>
      <c r="B52" s="111" t="str">
        <f>물량산출표!B94</f>
        <v>CV2.5SQ*4C</v>
      </c>
      <c r="C52" s="111" t="s">
        <v>516</v>
      </c>
      <c r="D52" s="114">
        <v>1758</v>
      </c>
      <c r="E52" s="113">
        <v>1083</v>
      </c>
      <c r="F52" s="112">
        <v>2548</v>
      </c>
      <c r="G52" s="115" t="s">
        <v>526</v>
      </c>
      <c r="H52" s="112"/>
      <c r="I52" s="112"/>
      <c r="J52" s="112">
        <f t="shared" si="1"/>
        <v>1758</v>
      </c>
      <c r="K52" s="111"/>
    </row>
    <row r="53" spans="1:11" ht="20.100000000000001" customHeight="1" x14ac:dyDescent="0.3">
      <c r="A53" s="111"/>
      <c r="B53" s="111"/>
      <c r="C53" s="111"/>
      <c r="D53" s="112"/>
      <c r="E53" s="111"/>
      <c r="F53" s="112"/>
      <c r="G53" s="111"/>
      <c r="H53" s="112"/>
      <c r="I53" s="112"/>
      <c r="J53" s="112"/>
      <c r="K53" s="111"/>
    </row>
  </sheetData>
  <mergeCells count="9">
    <mergeCell ref="H3:I3"/>
    <mergeCell ref="J3:J4"/>
    <mergeCell ref="K3:K4"/>
    <mergeCell ref="A1:K1"/>
    <mergeCell ref="A3:A4"/>
    <mergeCell ref="B3:B4"/>
    <mergeCell ref="C3:C4"/>
    <mergeCell ref="D3:E3"/>
    <mergeCell ref="F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14</vt:i4>
      </vt:variant>
    </vt:vector>
  </HeadingPairs>
  <TitlesOfParts>
    <vt:vector size="24" baseType="lpstr">
      <vt:lpstr>작성방법</vt:lpstr>
      <vt:lpstr>표지</vt:lpstr>
      <vt:lpstr>원가계산서</vt:lpstr>
      <vt:lpstr>집계표</vt:lpstr>
      <vt:lpstr>내역서</vt:lpstr>
      <vt:lpstr>일위대가목록</vt:lpstr>
      <vt:lpstr>일위대가표</vt:lpstr>
      <vt:lpstr>물량산출표</vt:lpstr>
      <vt:lpstr>단가조사표</vt:lpstr>
      <vt:lpstr>노임단가(2021상반기)</vt:lpstr>
      <vt:lpstr>내역서!Print_Area</vt:lpstr>
      <vt:lpstr>단가조사표!Print_Area</vt:lpstr>
      <vt:lpstr>물량산출표!Print_Area</vt:lpstr>
      <vt:lpstr>원가계산서!Print_Area</vt:lpstr>
      <vt:lpstr>일위대가목록!Print_Area</vt:lpstr>
      <vt:lpstr>일위대가표!Print_Area</vt:lpstr>
      <vt:lpstr>집계표!Print_Area</vt:lpstr>
      <vt:lpstr>표지!Print_Area</vt:lpstr>
      <vt:lpstr>내역서!Print_Titles</vt:lpstr>
      <vt:lpstr>'노임단가(2021상반기)'!Print_Titles</vt:lpstr>
      <vt:lpstr>단가조사표!Print_Titles</vt:lpstr>
      <vt:lpstr>물량산출표!Print_Titles</vt:lpstr>
      <vt:lpstr>일위대가목록!Print_Titles</vt:lpstr>
      <vt:lpstr>일위대가표!Print_Titles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2020-04-26T05:36:03Z</cp:lastPrinted>
  <dcterms:created xsi:type="dcterms:W3CDTF">2019-08-09T05:59:16Z</dcterms:created>
  <dcterms:modified xsi:type="dcterms:W3CDTF">2021-02-08T02:39:30Z</dcterms:modified>
</cp:coreProperties>
</file>